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Trinidad and Tobago/"/>
    </mc:Choice>
  </mc:AlternateContent>
  <xr:revisionPtr revIDLastSave="491" documentId="13_ncr:1_{58FFEBBE-3635-41DD-B40F-83BF12576390}" xr6:coauthVersionLast="47" xr6:coauthVersionMax="47" xr10:uidLastSave="{3AD38FF6-0DA0-4A32-B051-95A5F0CBA1FE}"/>
  <bookViews>
    <workbookView xWindow="-108" yWindow="-108" windowWidth="23256" windowHeight="13896" firstSheet="3" activeTab="5" xr2:uid="{BE9E1E00-0B85-4844-B1E3-229A610793B1}"/>
  </bookViews>
  <sheets>
    <sheet name="Introduction" sheetId="13" r:id="rId1"/>
    <sheet name="Part 1 - About" sheetId="14" r:id="rId2"/>
    <sheet name="Part 2 - Disclosure checklist" sheetId="15" r:id="rId3"/>
    <sheet name="Part 3 - Reporting entities" sheetId="12" r:id="rId4"/>
    <sheet name="Part 4 - Government revenues" sheetId="4" r:id="rId5"/>
    <sheet name="Part 5 - Company data" sheetId="11" r:id="rId6"/>
    <sheet name="Lists" sheetId="10" state="hidden" r:id="rId7"/>
  </sheets>
  <externalReferences>
    <externalReference r:id="rId8"/>
    <externalReference r:id="rId9"/>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4" l="1"/>
  <c r="E16" i="14"/>
  <c r="E15" i="14"/>
  <c r="I70" i="4" l="1"/>
  <c r="H285" i="11"/>
  <c r="D117" i="15" l="1"/>
  <c r="B113" i="15"/>
  <c r="B98" i="15"/>
  <c r="B96" i="15"/>
  <c r="B81" i="15"/>
  <c r="B79" i="15"/>
  <c r="B77" i="15"/>
  <c r="B75" i="15"/>
  <c r="B69" i="15"/>
  <c r="B67" i="15"/>
  <c r="B65" i="15"/>
  <c r="B63" i="15"/>
  <c r="J47" i="4"/>
  <c r="J49" i="4"/>
  <c r="J37" i="4"/>
  <c r="J23" i="4"/>
  <c r="J281" i="11" l="1"/>
  <c r="J280" i="11"/>
  <c r="J118" i="11"/>
  <c r="J279" i="11" l="1"/>
  <c r="J276" i="11"/>
  <c r="J275" i="11"/>
  <c r="J274" i="11"/>
  <c r="J273" i="11"/>
  <c r="J272" i="11"/>
  <c r="J271" i="11"/>
  <c r="J269" i="11"/>
  <c r="J268" i="11"/>
  <c r="J267" i="11"/>
  <c r="J266" i="11"/>
  <c r="J265" i="11"/>
  <c r="J264" i="11"/>
  <c r="J263" i="11"/>
  <c r="J262" i="11"/>
  <c r="J261" i="11"/>
  <c r="J259" i="11"/>
  <c r="J258" i="11"/>
  <c r="J257" i="11"/>
  <c r="J256" i="11"/>
  <c r="J255" i="11"/>
  <c r="J254" i="11"/>
  <c r="J253" i="11"/>
  <c r="J252" i="11"/>
  <c r="J251" i="11"/>
  <c r="J250" i="11"/>
  <c r="J249" i="11"/>
  <c r="J248" i="11"/>
  <c r="J247" i="11"/>
  <c r="J244" i="11"/>
  <c r="J243" i="11"/>
  <c r="J242" i="11"/>
  <c r="J241" i="11"/>
  <c r="J240" i="11"/>
  <c r="J238" i="11"/>
  <c r="J237" i="11"/>
  <c r="J236" i="11"/>
  <c r="J235" i="11"/>
  <c r="J234" i="11"/>
  <c r="J233" i="11"/>
  <c r="J232" i="11"/>
  <c r="J231" i="11"/>
  <c r="J230" i="11"/>
  <c r="J229" i="11"/>
  <c r="J228" i="11"/>
  <c r="J227" i="11"/>
  <c r="J226" i="11"/>
  <c r="J225" i="11"/>
  <c r="J224" i="11"/>
  <c r="J223" i="11"/>
  <c r="J220" i="11"/>
  <c r="J219" i="11"/>
  <c r="J218" i="11"/>
  <c r="J217" i="11"/>
  <c r="J216" i="11"/>
  <c r="J215" i="11"/>
  <c r="J214" i="11"/>
  <c r="J213" i="11"/>
  <c r="J212" i="11"/>
  <c r="J211" i="11"/>
  <c r="J210" i="11"/>
  <c r="J209" i="11"/>
  <c r="J208" i="11"/>
  <c r="J207" i="11"/>
  <c r="J206" i="11"/>
  <c r="J205" i="11"/>
  <c r="J204" i="11"/>
  <c r="J203" i="11"/>
  <c r="J201" i="11"/>
  <c r="J200" i="11"/>
  <c r="J199" i="11"/>
  <c r="J198" i="11"/>
  <c r="J197" i="11"/>
  <c r="J196" i="11"/>
  <c r="J195" i="11"/>
  <c r="J194" i="11"/>
  <c r="J193" i="11"/>
  <c r="J192" i="11"/>
  <c r="J190" i="11"/>
  <c r="J189" i="11"/>
  <c r="J188" i="11"/>
  <c r="J187" i="11"/>
  <c r="J186" i="11"/>
  <c r="J185" i="11"/>
  <c r="J184" i="11"/>
  <c r="J183" i="11"/>
  <c r="J182" i="11"/>
  <c r="J181" i="11"/>
  <c r="J180" i="11"/>
  <c r="J179" i="11"/>
  <c r="J178" i="11"/>
  <c r="J177" i="11"/>
  <c r="J176" i="11"/>
  <c r="J174"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7" i="11"/>
  <c r="J136" i="11"/>
  <c r="J135" i="11"/>
  <c r="J134" i="11"/>
  <c r="J133" i="11"/>
  <c r="J132" i="11"/>
  <c r="J131" i="11"/>
  <c r="J130" i="11"/>
  <c r="J129" i="11"/>
  <c r="J128" i="11"/>
  <c r="J127" i="11"/>
  <c r="J126" i="11"/>
  <c r="J125" i="11"/>
  <c r="J124" i="11"/>
  <c r="J123" i="11"/>
  <c r="J122" i="11"/>
  <c r="J119"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5" i="11"/>
  <c r="J74" i="11"/>
  <c r="J73" i="11"/>
  <c r="J72" i="11"/>
  <c r="J71" i="11"/>
  <c r="J70" i="11"/>
  <c r="J69" i="11"/>
  <c r="J68" i="11"/>
  <c r="J67" i="11"/>
  <c r="J66" i="11"/>
  <c r="J65" i="11"/>
  <c r="J64"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4" i="11"/>
  <c r="J23" i="11"/>
  <c r="J22" i="11"/>
  <c r="J21" i="11"/>
  <c r="J20" i="11"/>
  <c r="J19" i="11"/>
  <c r="J18" i="11"/>
  <c r="J17" i="11"/>
  <c r="J16" i="11"/>
  <c r="J15" i="11"/>
  <c r="J46" i="4"/>
  <c r="J26" i="4"/>
  <c r="J30" i="4"/>
  <c r="J35" i="4"/>
  <c r="J32" i="4"/>
  <c r="J36" i="4"/>
  <c r="J34" i="4"/>
  <c r="J33" i="4"/>
  <c r="J22" i="4"/>
  <c r="J44" i="4"/>
  <c r="J50" i="4"/>
  <c r="J40" i="4"/>
  <c r="J45" i="4"/>
  <c r="J28" i="4"/>
  <c r="E17" i="12" s="1"/>
  <c r="J29" i="4"/>
  <c r="J24" i="4"/>
  <c r="J48" i="4"/>
  <c r="J25" i="4"/>
  <c r="J31" i="4"/>
  <c r="J52" i="4"/>
  <c r="J38" i="4"/>
  <c r="J27" i="4"/>
  <c r="J53" i="4"/>
  <c r="J54" i="4"/>
  <c r="J70" i="4" l="1"/>
  <c r="J285" i="11"/>
  <c r="B239" i="11"/>
  <c r="B240" i="11"/>
  <c r="B265" i="11"/>
  <c r="B266" i="11"/>
  <c r="B267" i="11"/>
  <c r="B269" i="11"/>
  <c r="B274" i="11"/>
  <c r="B117" i="11"/>
  <c r="B275" i="11" l="1"/>
  <c r="B276" i="11"/>
  <c r="B213" i="11"/>
  <c r="B270" i="11" l="1"/>
  <c r="B255" i="11"/>
  <c r="B260" i="11"/>
  <c r="B257" i="11"/>
  <c r="B252" i="11"/>
  <c r="B249" i="11"/>
  <c r="B247" i="11"/>
  <c r="B246" i="11"/>
  <c r="B245" i="11"/>
  <c r="B228" i="11"/>
  <c r="B219" i="11"/>
  <c r="B218" i="11"/>
  <c r="B217" i="11"/>
  <c r="B214" i="11"/>
  <c r="B208" i="11"/>
  <c r="B207" i="11"/>
  <c r="B202" i="11"/>
  <c r="B196" i="11"/>
  <c r="B191" i="11"/>
  <c r="B184" i="11"/>
  <c r="B180" i="11"/>
  <c r="B179" i="11"/>
  <c r="B158" i="11"/>
  <c r="B146" i="11"/>
  <c r="B143" i="11"/>
  <c r="B138" i="11"/>
  <c r="B126" i="11"/>
  <c r="B120" i="11"/>
  <c r="B107" i="11"/>
  <c r="B96" i="11"/>
  <c r="B95" i="11"/>
  <c r="B106" i="11"/>
  <c r="B105" i="11"/>
  <c r="B104" i="11"/>
  <c r="B103" i="11"/>
  <c r="B101" i="11"/>
  <c r="B82" i="11"/>
  <c r="B44" i="11"/>
  <c r="B34" i="11"/>
  <c r="I24" i="12" l="1"/>
  <c r="B215" i="11" l="1"/>
  <c r="B216" i="11"/>
  <c r="B220" i="11"/>
  <c r="B221" i="11"/>
  <c r="B222" i="11"/>
  <c r="B223" i="11"/>
  <c r="B224" i="11"/>
  <c r="B225" i="11"/>
  <c r="B226" i="11"/>
  <c r="B227" i="11"/>
  <c r="B229" i="11"/>
  <c r="B230" i="11"/>
  <c r="B231" i="11"/>
  <c r="B232" i="11"/>
  <c r="B233" i="11"/>
  <c r="B234" i="11"/>
  <c r="B235" i="11"/>
  <c r="B236" i="11"/>
  <c r="B237" i="11"/>
  <c r="B238" i="11"/>
  <c r="B241" i="11"/>
  <c r="B243" i="11"/>
  <c r="B244" i="11"/>
  <c r="B248" i="11"/>
  <c r="B250" i="11"/>
  <c r="B251" i="11"/>
  <c r="B253" i="11"/>
  <c r="B254" i="11"/>
  <c r="B256" i="11"/>
  <c r="B258" i="11"/>
  <c r="B162" i="11"/>
  <c r="B81" i="11" l="1"/>
  <c r="B83" i="11"/>
  <c r="B84" i="11"/>
  <c r="B85" i="11"/>
  <c r="B86" i="11"/>
  <c r="B87" i="11"/>
  <c r="B88" i="11"/>
  <c r="B89" i="11"/>
  <c r="B90" i="11"/>
  <c r="B91" i="11"/>
  <c r="B92" i="11"/>
  <c r="B93" i="11"/>
  <c r="B94" i="11"/>
  <c r="B97" i="11"/>
  <c r="B98" i="11"/>
  <c r="B99" i="11"/>
  <c r="B100" i="11"/>
  <c r="B102" i="11"/>
  <c r="B108" i="11"/>
  <c r="B109" i="11"/>
  <c r="B110" i="11"/>
  <c r="B111" i="11"/>
  <c r="B112" i="11"/>
  <c r="B113" i="11"/>
  <c r="B114" i="11"/>
  <c r="B115" i="11"/>
  <c r="B116" i="11"/>
  <c r="B118" i="11"/>
  <c r="B119" i="11"/>
  <c r="B121" i="11"/>
  <c r="B122" i="11"/>
  <c r="B123" i="11"/>
  <c r="B124" i="11"/>
  <c r="B125" i="11"/>
  <c r="B127" i="11"/>
  <c r="B128" i="11"/>
  <c r="B129" i="11"/>
  <c r="B130" i="11"/>
  <c r="B131" i="11"/>
  <c r="B132" i="11"/>
  <c r="B133" i="11"/>
  <c r="B134" i="11"/>
  <c r="B135" i="11"/>
  <c r="B136" i="11"/>
  <c r="B137" i="11"/>
  <c r="B139" i="11"/>
  <c r="B140" i="11"/>
  <c r="B141" i="11"/>
  <c r="B142" i="11"/>
  <c r="B144" i="11"/>
  <c r="B145" i="11"/>
  <c r="B147" i="11"/>
  <c r="B148" i="11"/>
  <c r="B149" i="11"/>
  <c r="B150" i="11"/>
  <c r="B151" i="11"/>
  <c r="B152" i="11"/>
  <c r="B153" i="11"/>
  <c r="B154" i="11"/>
  <c r="B155" i="11"/>
  <c r="B156" i="11"/>
  <c r="B157" i="11"/>
  <c r="B159" i="11"/>
  <c r="B160" i="11"/>
  <c r="B161" i="11"/>
  <c r="B163" i="11"/>
  <c r="B164" i="11"/>
  <c r="B165" i="11"/>
  <c r="B166" i="11"/>
  <c r="B167" i="11"/>
  <c r="B168" i="11"/>
  <c r="B169" i="11"/>
  <c r="B170" i="11"/>
  <c r="B171" i="11"/>
  <c r="B172" i="11"/>
  <c r="B173" i="11"/>
  <c r="B174" i="11"/>
  <c r="B175" i="11"/>
  <c r="B176" i="11"/>
  <c r="B177" i="11"/>
  <c r="B178" i="11"/>
  <c r="B181" i="11"/>
  <c r="B182" i="11"/>
  <c r="B183" i="11"/>
  <c r="B185" i="11"/>
  <c r="B186" i="11"/>
  <c r="B187" i="11"/>
  <c r="B188" i="11"/>
  <c r="B189" i="11"/>
  <c r="B190" i="11"/>
  <c r="B192" i="11"/>
  <c r="B193" i="11"/>
  <c r="B194" i="11"/>
  <c r="B195" i="11"/>
  <c r="B197" i="11"/>
  <c r="B198" i="11"/>
  <c r="B199" i="11"/>
  <c r="B200" i="11"/>
  <c r="B201" i="11"/>
  <c r="B203" i="11"/>
  <c r="B204" i="11"/>
  <c r="B205" i="11"/>
  <c r="B206" i="11"/>
  <c r="B209" i="11"/>
  <c r="B210" i="11"/>
  <c r="B211" i="11"/>
  <c r="B212" i="11"/>
  <c r="B259" i="11"/>
  <c r="B261" i="11"/>
  <c r="B262" i="11"/>
  <c r="B263" i="11"/>
  <c r="B264" i="11"/>
  <c r="B268" i="11"/>
  <c r="B271" i="11"/>
  <c r="B272" i="11"/>
  <c r="B273" i="11"/>
  <c r="B277" i="11"/>
  <c r="B278" i="11"/>
  <c r="B279" i="11"/>
  <c r="B280" i="11"/>
  <c r="B35" i="11" l="1"/>
  <c r="B36" i="11"/>
  <c r="B37" i="11"/>
  <c r="B38" i="11"/>
  <c r="B39" i="11"/>
  <c r="B40" i="11"/>
  <c r="B41" i="11"/>
  <c r="B42" i="11"/>
  <c r="B43"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32" i="11"/>
  <c r="B16" i="11"/>
  <c r="B17" i="11"/>
  <c r="B18" i="11"/>
  <c r="B19" i="11"/>
  <c r="B20" i="11"/>
  <c r="B21" i="11"/>
  <c r="B22" i="11"/>
  <c r="B23" i="11"/>
  <c r="B24" i="11"/>
  <c r="B25" i="11"/>
  <c r="B26" i="11"/>
  <c r="B27" i="11"/>
  <c r="B28" i="11"/>
  <c r="B29" i="11"/>
  <c r="B30" i="11"/>
  <c r="B31" i="11"/>
  <c r="B33" i="11"/>
  <c r="B74" i="11"/>
  <c r="B75" i="11"/>
  <c r="B76" i="11"/>
  <c r="B77" i="11"/>
  <c r="B78" i="11"/>
  <c r="B79" i="11"/>
  <c r="B80" i="11"/>
  <c r="B281" i="11"/>
  <c r="I59" i="12"/>
  <c r="B36" i="4" l="1"/>
  <c r="B23" i="4"/>
  <c r="B32" i="4"/>
  <c r="B35" i="4"/>
  <c r="C36" i="4"/>
  <c r="C23" i="4"/>
  <c r="C32" i="4"/>
  <c r="C35" i="4"/>
  <c r="D36" i="4"/>
  <c r="D23" i="4"/>
  <c r="D32" i="4"/>
  <c r="D35" i="4"/>
  <c r="E36" i="4"/>
  <c r="E23" i="4"/>
  <c r="E32" i="4"/>
  <c r="E35" i="4"/>
  <c r="B41" i="4"/>
  <c r="B50" i="4"/>
  <c r="B44" i="4"/>
  <c r="B22" i="4"/>
  <c r="B43" i="4"/>
  <c r="B39" i="4"/>
  <c r="B49" i="4"/>
  <c r="B47" i="4"/>
  <c r="B33" i="4"/>
  <c r="B34" i="4"/>
  <c r="C41" i="4"/>
  <c r="C50" i="4"/>
  <c r="C44" i="4"/>
  <c r="C22" i="4"/>
  <c r="C43" i="4"/>
  <c r="C39" i="4"/>
  <c r="C49" i="4"/>
  <c r="C47" i="4"/>
  <c r="C33" i="4"/>
  <c r="C34" i="4"/>
  <c r="D41" i="4"/>
  <c r="D50" i="4"/>
  <c r="D44" i="4"/>
  <c r="D22" i="4"/>
  <c r="D43" i="4"/>
  <c r="D39" i="4"/>
  <c r="D49" i="4"/>
  <c r="D47" i="4"/>
  <c r="D33" i="4"/>
  <c r="D34" i="4"/>
  <c r="E41" i="4"/>
  <c r="E50" i="4"/>
  <c r="E44" i="4"/>
  <c r="E22" i="4"/>
  <c r="E43" i="4"/>
  <c r="E39" i="4"/>
  <c r="E49" i="4"/>
  <c r="E47" i="4"/>
  <c r="E33" i="4"/>
  <c r="E34" i="4"/>
  <c r="B29" i="4"/>
  <c r="B28" i="4"/>
  <c r="B45" i="4"/>
  <c r="B42" i="4"/>
  <c r="B51" i="4"/>
  <c r="C29" i="4"/>
  <c r="C28" i="4"/>
  <c r="C45" i="4"/>
  <c r="C42" i="4"/>
  <c r="C51" i="4"/>
  <c r="D29" i="4"/>
  <c r="D28" i="4"/>
  <c r="D45" i="4"/>
  <c r="D42" i="4"/>
  <c r="D51" i="4"/>
  <c r="E29" i="4"/>
  <c r="E28" i="4"/>
  <c r="E45" i="4"/>
  <c r="E42" i="4"/>
  <c r="E51" i="4"/>
  <c r="B24" i="4"/>
  <c r="C24" i="4"/>
  <c r="D24" i="4"/>
  <c r="E24" i="4"/>
  <c r="B48" i="4"/>
  <c r="C48" i="4"/>
  <c r="D48" i="4"/>
  <c r="E48" i="4"/>
  <c r="B25" i="4"/>
  <c r="C25" i="4"/>
  <c r="D25" i="4"/>
  <c r="E25" i="4"/>
  <c r="B38" i="4"/>
  <c r="B52" i="4"/>
  <c r="B37" i="4"/>
  <c r="C38" i="4"/>
  <c r="C52" i="4"/>
  <c r="C37" i="4"/>
  <c r="D38" i="4"/>
  <c r="D52" i="4"/>
  <c r="D37" i="4"/>
  <c r="E38" i="4"/>
  <c r="E52" i="4"/>
  <c r="E37" i="4"/>
  <c r="B53" i="4"/>
  <c r="C53" i="4"/>
  <c r="D53" i="4"/>
  <c r="E53" i="4"/>
  <c r="B27" i="4"/>
  <c r="C27" i="4"/>
  <c r="D27" i="4"/>
  <c r="E27" i="4"/>
  <c r="I25" i="12" l="1"/>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60" i="12"/>
  <c r="I61" i="12"/>
  <c r="I62" i="12"/>
  <c r="I63" i="12"/>
  <c r="I64" i="12"/>
  <c r="I65" i="12"/>
  <c r="I66" i="12"/>
  <c r="I67" i="12"/>
  <c r="I68" i="12"/>
  <c r="I69" i="12"/>
  <c r="I70" i="12"/>
  <c r="I71" i="12"/>
  <c r="I72" i="12"/>
  <c r="J283" i="11" l="1"/>
  <c r="J68" i="4" l="1"/>
  <c r="D86" i="15" s="1"/>
  <c r="E54" i="14" l="1"/>
  <c r="E53" i="14"/>
  <c r="E56" i="14"/>
  <c r="E55" i="14"/>
  <c r="E15" i="12"/>
  <c r="E52" i="14" l="1"/>
  <c r="E16" i="12"/>
  <c r="B15" i="11"/>
  <c r="N4" i="4"/>
  <c r="J83" i="4"/>
  <c r="D31" i="4"/>
  <c r="E40" i="4"/>
  <c r="D40" i="4"/>
  <c r="C40" i="4"/>
  <c r="B40" i="4"/>
  <c r="E31" i="4"/>
  <c r="C31" i="4"/>
  <c r="B31" i="4"/>
  <c r="E54" i="4"/>
  <c r="D54" i="4"/>
  <c r="C54" i="4"/>
  <c r="B5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<sst xmlns="http://schemas.openxmlformats.org/spreadsheetml/2006/main" count="5305" uniqueCount="2166">
  <si>
    <t>Completed on:</t>
  </si>
  <si>
    <t>YYYY-MM-DD</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</si>
  <si>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</si>
  <si>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</si>
  <si>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</si>
  <si>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</si>
  <si>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</si>
  <si>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</si>
  <si>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</si>
  <si>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</si>
  <si>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</si>
  <si>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</si>
  <si>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</si>
  <si>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</si>
  <si>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</si>
  <si>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</si>
  <si>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</si>
  <si>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</si>
  <si>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</si>
  <si>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</si>
  <si>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</si>
  <si>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</si>
  <si>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</si>
  <si>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</si>
  <si>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</si>
  <si>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</si>
  <si>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</si>
  <si>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</si>
  <si>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</si>
  <si>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</si>
  <si>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</si>
  <si>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</si>
  <si>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</si>
  <si>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</si>
  <si>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</si>
  <si>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</si>
  <si>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</si>
  <si>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</si>
  <si>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</si>
  <si>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</si>
  <si>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</si>
  <si>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</si>
  <si>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</si>
  <si>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</si>
  <si>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</si>
  <si>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</si>
  <si>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</si>
  <si>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</si>
  <si>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</si>
  <si>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</si>
  <si>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</si>
  <si>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</si>
  <si>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Trinidad and Tobago</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</si>
  <si>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</si>
  <si>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</si>
  <si>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</si>
  <si>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</si>
  <si>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</si>
  <si>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</si>
  <si>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</si>
  <si>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</si>
  <si>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</si>
  <si>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</si>
  <si>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PKF Ltd</t>
  </si>
  <si>
    <t>Date that the EITI Report was made public</t>
  </si>
  <si>
    <t>URL, EITI Report</t>
  </si>
  <si>
    <t>https://www.tteiti.com/articles/eiti-report-2019</t>
  </si>
  <si>
    <t>Does the government systematically disclose EITI data at a single location?</t>
  </si>
  <si>
    <t>Partially</t>
  </si>
  <si>
    <t>Publication date of the EITI data</t>
  </si>
  <si>
    <t>No specific publication date</t>
  </si>
  <si>
    <t>Website link (URL) to EITI data</t>
  </si>
  <si>
    <t>https://www.energy.gov.tt</t>
  </si>
  <si>
    <t>Are there other files of relevance?</t>
  </si>
  <si>
    <t>No</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</si>
  <si>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</si>
  <si>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</si>
  <si>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</si>
  <si>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</si>
  <si>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</si>
  <si>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</si>
  <si>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</si>
  <si>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https://www.tteiti.com/open-data</t>
  </si>
  <si>
    <t>Sector coverage</t>
  </si>
  <si>
    <t>Oil</t>
  </si>
  <si>
    <t>Gas</t>
  </si>
  <si>
    <t>Mining (incl. Quarrying)</t>
  </si>
  <si>
    <t>Other, non-upstream sectors</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</si>
  <si>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</si>
  <si>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</si>
  <si>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</si>
  <si>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</si>
  <si>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TTD</t>
  </si>
  <si>
    <t xml:space="preserve">Exchange rate used: 1 USD = </t>
  </si>
  <si>
    <t>Exchange rate source (URL,…)</t>
  </si>
  <si>
    <t>https://www.central-bank.org.tt/statistics/data-centre/exchange-rates-annual</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</si>
  <si>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</si>
  <si>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</si>
  <si>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</si>
  <si>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</si>
  <si>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</si>
  <si>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</si>
  <si>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</si>
  <si>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</si>
  <si>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</si>
  <si>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</si>
  <si>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</si>
  <si>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</si>
  <si>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</si>
  <si>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</si>
  <si>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 xml:space="preserve">Sherwin Long </t>
  </si>
  <si>
    <t>Organisation</t>
  </si>
  <si>
    <t>TTEITI Secretariat</t>
  </si>
  <si>
    <t>Email address</t>
  </si>
  <si>
    <t>slong@energy.gov.tt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</si>
  <si>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</si>
  <si>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</si>
  <si>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</si>
  <si>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</si>
  <si>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</si>
  <si>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</si>
  <si>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</si>
  <si>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</si>
  <si>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</si>
  <si>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</si>
  <si>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</si>
  <si>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</si>
  <si>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</si>
  <si>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</si>
  <si>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</si>
  <si>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</si>
  <si>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</si>
  <si>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https://www.energy.gov.tt/for-investors/legislation-and-tax-laws/</t>
  </si>
  <si>
    <t>Overview of government agencies' roles?</t>
  </si>
  <si>
    <t xml:space="preserve">https://www.energy.gov.tt/about-us/the-organisation/divisions/legal-unit/   https://www.planning.gov.tt/content/about   https://www.finance.gov.tt/our-ministry/                              https://www.ird.gov.tt/about/the-board                              https://www.ema.co.tt/about/what-we-do/ </t>
  </si>
  <si>
    <t>Mineral and petroleum rights' regime?</t>
  </si>
  <si>
    <t>https://www.energy.gov.tt/model-contracts/                                            http://www.energy.gov.tt/for-investors/competitive-bid-round/bid-rounds/</t>
  </si>
  <si>
    <t>Fiscal regime?</t>
  </si>
  <si>
    <t>https://www.energy.gov.tt/for-investors/fiscal-regime/</t>
  </si>
  <si>
    <r>
      <t>EITI Requirement 2.2</t>
    </r>
    <r>
      <rPr>
        <b/>
        <sz val="11"/>
        <rFont val="Franklin Gothic Book"/>
        <family val="2"/>
      </rPr>
      <t>: Contract and license allocations</t>
    </r>
  </si>
  <si>
    <t>the award process(es)?</t>
  </si>
  <si>
    <t>For mining; https://www.energy.gov.tt/wp-content/uploads/2013/12/Guidelines-Flow-Chart-Mining-Licence.pdf
For oil &amp; gas: EITI report section 5.5.1 (pp. 60-61)</t>
  </si>
  <si>
    <t>and the technical and financial criteria used?</t>
  </si>
  <si>
    <t>For oil &amp; gas: https://www.energy.gov.tt/wp-content/uploads/2013/11/Bid_Round_Prequalifaication_Criteria.pdf
For mining: not available</t>
  </si>
  <si>
    <t>the transfer process(es)?</t>
  </si>
  <si>
    <t>EITI Report, Section 5.6.2 (p. 63)</t>
  </si>
  <si>
    <t>bidding rounds/process(es)?</t>
  </si>
  <si>
    <t>https://www.energy.gov.tt/for-investors/2018-shallow-water-competitive-bid-round/</t>
  </si>
  <si>
    <t>No. of license awards and transfers for the covered year</t>
  </si>
  <si>
    <r>
      <t xml:space="preserve">EITI Requirement 2.3: </t>
    </r>
    <r>
      <rPr>
        <b/>
        <sz val="11"/>
        <rFont val="Franklin Gothic Book"/>
        <family val="2"/>
      </rPr>
      <t>Register of licenses</t>
    </r>
  </si>
  <si>
    <t>License register for mining sector</t>
  </si>
  <si>
    <t>https://www.energy.gov.tt/services/license-registers/</t>
  </si>
  <si>
    <t>License register for petroleum sector</t>
  </si>
  <si>
    <t>License register for other sector(s) - add rows if several</t>
  </si>
  <si>
    <r>
      <t>EITI Requirement 2.4</t>
    </r>
    <r>
      <rPr>
        <b/>
        <sz val="11"/>
        <rFont val="Franklin Gothic Book"/>
        <family val="2"/>
      </rPr>
      <t>: Contract disclosure</t>
    </r>
  </si>
  <si>
    <t>Government policy on contract disclosure</t>
  </si>
  <si>
    <t xml:space="preserve"> EITI Report, Section 5.7 (p. 65). </t>
  </si>
  <si>
    <t>Are contracts or full license texts disclosed?</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</si>
  <si>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</si>
  <si>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</si>
  <si>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</si>
  <si>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</si>
  <si>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</si>
  <si>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 xml:space="preserve">http://news.gov.tt/sites/default/files/E-Gazette/Gazette%202019/Acts/Act%20No.%206%20of%202019.pdf </t>
  </si>
  <si>
    <t>Is beneficial ownership data disclosed?</t>
  </si>
  <si>
    <t>https://www.tteiti.com/beneficial-ownership-register</t>
  </si>
  <si>
    <t>Beneficial ownership registry</t>
  </si>
  <si>
    <t>TTEITI Beneficial Ownership Register</t>
  </si>
  <si>
    <r>
      <t>EITI Requirement 2.6</t>
    </r>
    <r>
      <rPr>
        <b/>
        <sz val="11"/>
        <rFont val="Franklin Gothic Book"/>
        <family val="2"/>
      </rPr>
      <t>: State participation</t>
    </r>
  </si>
  <si>
    <t>Does the government report how it participates in the extractive sector?</t>
  </si>
  <si>
    <t xml:space="preserve">https://www.finance.gov.tt/divisions/investments-division/   and reports:  https://www.finance.gov.tt/publications/state-enterprises-investment-programme/   </t>
  </si>
  <si>
    <t>References to state-owned enterprises portals or company website(s), for example as stated in the Report (Add rows if several SOEs)</t>
  </si>
  <si>
    <t>https://ngc.co.tt/about/  https://heritage.co.tt/   https://pariatt.co/</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</si>
  <si>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</si>
  <si>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</si>
  <si>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</si>
  <si>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r>
      <t>EITI Requirement 3.2</t>
    </r>
    <r>
      <rPr>
        <b/>
        <sz val="11"/>
        <rFont val="Franklin Gothic Book"/>
        <family val="2"/>
      </rPr>
      <t>: Production by commodity</t>
    </r>
  </si>
  <si>
    <t>(Harmonised System Codes)</t>
  </si>
  <si>
    <t>Disclosure of production volumes</t>
  </si>
  <si>
    <t>https://www.energy.gov.tt/publications/</t>
  </si>
  <si>
    <t>Disclosure of production values</t>
  </si>
  <si>
    <t>6.3.1.2</t>
  </si>
  <si>
    <t>Crude oil (2709), volume</t>
  </si>
  <si>
    <t>Sm3</t>
  </si>
  <si>
    <t>Also page 109 of 2019-2020 EITI Report</t>
  </si>
  <si>
    <t>USD</t>
  </si>
  <si>
    <t>The market value of crude oil production is calculated by multiplying total annual oil production 
volumes by the corresponding year’s average annual WTI (West Texas Intermediate) price stated 
in US$ per barrel.</t>
  </si>
  <si>
    <t>Natural gas (2711), volume</t>
  </si>
  <si>
    <t xml:space="preserve">Page 113, EITI report </t>
  </si>
  <si>
    <t>The market value of LNG produced in T&amp;T is calculated by multiplying the annual LNG production 
by the average LNG Free on Board15 (Point Fortin) prices quoted in US dollars per mmBtu</t>
  </si>
  <si>
    <t>Mineral substances not elsewhere specified (2530), volume</t>
  </si>
  <si>
    <t>Tonnes</t>
  </si>
  <si>
    <t>See EITI report section 6.3.4.1 for breakdown</t>
  </si>
  <si>
    <t>not available</t>
  </si>
  <si>
    <t>Add commodities here, volume</t>
  </si>
  <si>
    <r>
      <t>EITI Requirement 3.3</t>
    </r>
    <r>
      <rPr>
        <b/>
        <sz val="11"/>
        <rFont val="Franklin Gothic Book"/>
        <family val="2"/>
      </rPr>
      <t>: Exports</t>
    </r>
  </si>
  <si>
    <t>Disclosure of export volumes</t>
  </si>
  <si>
    <t>https://www.energy.gov.tt/wp-content/uploads/2021/02/MEEI-Consolidated-Monthly-Bulletins_January-December-2020-15-2-2021-2.pdf</t>
  </si>
  <si>
    <t>Disclosure of export values</t>
  </si>
  <si>
    <t>https://www.finance.gov.tt/wp-content/uploads/2020/10/Review-of-the-Economy-2020.pdf</t>
  </si>
  <si>
    <t>Bitumen and asphalt (2714), volume</t>
  </si>
  <si>
    <t>asphalt</t>
  </si>
  <si>
    <t>See section 5.15.2 (p. 95)</t>
  </si>
  <si>
    <t>&lt;method of value calculation, if available&gt;</t>
  </si>
  <si>
    <r>
      <t>EITI Requirement 4.1</t>
    </r>
    <r>
      <rPr>
        <b/>
        <sz val="11"/>
        <rFont val="Franklin Gothic Book"/>
        <family val="2"/>
      </rPr>
      <t>: Comprehensiveness</t>
    </r>
  </si>
  <si>
    <t>Does the government fully disclose extractive sector revenues by revenue stream?</t>
  </si>
  <si>
    <t>Section 7.2 EITI Report (p. 123)</t>
  </si>
  <si>
    <t>Are MSG decisions on materiality thresholds publicly available?</t>
  </si>
  <si>
    <t>Section 4.2.2 EITI Report (p.24)</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</si>
  <si>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</si>
  <si>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</si>
  <si>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</si>
  <si>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</si>
  <si>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section 6.4.1 (p. 117)</t>
  </si>
  <si>
    <t>If yes, what was the volume received?</t>
  </si>
  <si>
    <t>Barrels</t>
  </si>
  <si>
    <t>Page 117 EITI Report</t>
  </si>
  <si>
    <t>Scf</t>
  </si>
  <si>
    <t>If yes, what was sold?</t>
  </si>
  <si>
    <t>Value for oil &amp; gas, see section 6.4.2</t>
  </si>
  <si>
    <t xml:space="preserve">EITI report presents aggregated figures of oil and gas sales revenues </t>
  </si>
  <si>
    <r>
      <t>EITI Requirement 4.3</t>
    </r>
    <r>
      <rPr>
        <b/>
        <sz val="11"/>
        <rFont val="Franklin Gothic Book"/>
        <family val="2"/>
      </rPr>
      <t>: Barter agreements</t>
    </r>
  </si>
  <si>
    <t>Does the government disclose information on barter and infrastructure agreements?</t>
  </si>
  <si>
    <t>see section 5.11 (p. 84)</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</si>
  <si>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</si>
  <si>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</si>
  <si>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</si>
  <si>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Section 5.13 (p. 85)</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</si>
  <si>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</si>
  <si>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</si>
  <si>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</si>
  <si>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Section 6.5 (p. 119-122)</t>
  </si>
  <si>
    <t>If yes, what was the total revenues received by SOEs?</t>
  </si>
  <si>
    <t>reported as volume, see table 6-17</t>
  </si>
  <si>
    <r>
      <t>EITI Requirement 4.6</t>
    </r>
    <r>
      <rPr>
        <b/>
        <sz val="11"/>
        <rFont val="Franklin Gothic Book"/>
        <family val="2"/>
      </rPr>
      <t>: Direct subnational payments</t>
    </r>
  </si>
  <si>
    <t>see EITI report section 5.2.4 (p. 51)</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</si>
  <si>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</si>
  <si>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</si>
  <si>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</si>
  <si>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</si>
  <si>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</si>
  <si>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 5.14</t>
  </si>
  <si>
    <t>Is the data subject to credible, independent audits, applying international standards?</t>
  </si>
  <si>
    <t>Are government agencies subject to credible, independent audits?</t>
  </si>
  <si>
    <t>Government audits database</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</si>
  <si>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</si>
  <si>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</si>
  <si>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</si>
  <si>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</si>
  <si>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 5.10.1 (p. 76)</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</si>
  <si>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</si>
  <si>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</si>
  <si>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</si>
  <si>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See EITI Report section 5.10.3 (p. 77)</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</si>
  <si>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</si>
  <si>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</si>
  <si>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</si>
  <si>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</si>
  <si>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See EITI Report section 5.10.1 (p. 76)</t>
  </si>
  <si>
    <t>Does the government disclose a description of the country’s budget and audit processes?</t>
  </si>
  <si>
    <t>www.auditorgeneral.gov.tt</t>
  </si>
  <si>
    <t>Does the government disclose publicly available information about budgets and 
expenditures? - add rows if several</t>
  </si>
  <si>
    <t>https://www.finance.gov.tt/category/budget-statement/</t>
  </si>
  <si>
    <r>
      <t>EITI Requirement 6.1</t>
    </r>
    <r>
      <rPr>
        <b/>
        <sz val="11"/>
        <rFont val="Franklin Gothic Book"/>
        <family val="2"/>
      </rPr>
      <t>: Social expenditures</t>
    </r>
  </si>
  <si>
    <t>Does the government disclose information on Social expenditures?</t>
  </si>
  <si>
    <t>Section 5.12 EITI Report (p. 85)</t>
  </si>
  <si>
    <t>If yes, what was the total mandatory social expenditures received?</t>
  </si>
  <si>
    <t>No mandatory payments. See section 5.12</t>
  </si>
  <si>
    <t>If yes, what was the total voluntary social expenditures received?</t>
  </si>
  <si>
    <t>Do companies disclose information on Social expenditures?</t>
  </si>
  <si>
    <t xml:space="preserve">Section 5.12 EITI Report (p. 85) </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</si>
  <si>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</si>
  <si>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</si>
  <si>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</si>
  <si>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</si>
  <si>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 xml:space="preserve">Green Fund Levy. For years 2019-2020. </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</si>
  <si>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</si>
  <si>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</si>
  <si>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</si>
  <si>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</si>
  <si>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</si>
  <si>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</si>
  <si>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https://www.finance.gov.tt/publications/national-budget/review-of-the-economy/</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</si>
  <si>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</si>
  <si>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See Review of the Economy 2021, Appendix 1, p152. TTD figure converted to USD at 6.64</t>
  </si>
  <si>
    <t>Gross Domestic Product ASM and informal sector</t>
  </si>
  <si>
    <t>not applicable</t>
  </si>
  <si>
    <t>Gross Domestic Product - all sectors</t>
  </si>
  <si>
    <t>See Review of the Economy 2021, Appendix 1, p152. GDP at Purchaser prices in TTD converted to USD at 6.64</t>
  </si>
  <si>
    <t>Government revenue - extractive industries</t>
  </si>
  <si>
    <t>See EITI Report table 4-15, p36, 2020 TTD figure for reconciled payments converted to USD at 6.64</t>
  </si>
  <si>
    <t>Government revenue - all sectors</t>
  </si>
  <si>
    <t>See Review of the Economy 2021, Appendix 22, p173. TTD figure converted to USD at 6.64</t>
  </si>
  <si>
    <t>Exports - extractive industries</t>
  </si>
  <si>
    <t>Exports - all sectors</t>
  </si>
  <si>
    <t>Employment - extractive sector - male</t>
  </si>
  <si>
    <t>people</t>
  </si>
  <si>
    <t>Section 5.3.2 (Page 52)</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</si>
  <si>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</si>
  <si>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</si>
  <si>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</si>
  <si>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</si>
  <si>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</si>
  <si>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</si>
  <si>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</si>
  <si>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https://www.ema.co.tt/ema-legal/legislation/</t>
  </si>
  <si>
    <t>databases containing environmental impact assessments, certification schemes or similar documentation of environmental management?</t>
  </si>
  <si>
    <t>other relevant information on environmental monitoring procedures and administration?</t>
  </si>
  <si>
    <t>https://www.ema.co.tt</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</si>
  <si>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</si>
  <si>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</si>
  <si>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</si>
  <si>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</si>
  <si>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</si>
  <si>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</si>
  <si>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</si>
  <si>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</si>
  <si>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</si>
  <si>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</si>
  <si>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</si>
  <si>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</si>
  <si>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</si>
  <si>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 xml:space="preserve">Ministry of Finance - Inland Revenue Division </t>
  </si>
  <si>
    <t>Central goverment</t>
  </si>
  <si>
    <t xml:space="preserve">Ministry on Energy and Energy Industries </t>
  </si>
  <si>
    <t xml:space="preserve">Ministry of Finance - Investment Division </t>
  </si>
  <si>
    <t>Reporting companies' list</t>
  </si>
  <si>
    <t>Company ID references</t>
  </si>
  <si>
    <t>Tax identification number</t>
  </si>
  <si>
    <t>Board of Inland Revenue</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</si>
  <si>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</si>
  <si>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</si>
  <si>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</si>
  <si>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</si>
  <si>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</si>
  <si>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</si>
  <si>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</si>
  <si>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</si>
  <si>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 xml:space="preserve">Amoco Trinidad Gas B.V. </t>
  </si>
  <si>
    <t>000115341-9</t>
  </si>
  <si>
    <t>Oil &amp; Gas</t>
  </si>
  <si>
    <t>BP Exploration Operating Company Limited</t>
  </si>
  <si>
    <t>100039340-4</t>
  </si>
  <si>
    <t>BP Trinidad and Tobago LLC</t>
  </si>
  <si>
    <t>000102561-5</t>
  </si>
  <si>
    <t>Oil, Gas</t>
  </si>
  <si>
    <t xml:space="preserve">BP Trinidad Processing Limited </t>
  </si>
  <si>
    <t>000128514-1</t>
  </si>
  <si>
    <t xml:space="preserve">Shell Trinidad Block E Limited </t>
  </si>
  <si>
    <t>100001211-7</t>
  </si>
  <si>
    <t xml:space="preserve">BG International Limited </t>
  </si>
  <si>
    <t>000118097-4</t>
  </si>
  <si>
    <t xml:space="preserve">Shell Trinidad 5(a) Limited </t>
  </si>
  <si>
    <t>000128330-5</t>
  </si>
  <si>
    <t>Shell Trinidad and Tobago Resources SRL</t>
  </si>
  <si>
    <t>000100429-6</t>
  </si>
  <si>
    <t xml:space="preserve">Shell Trinidad and Tobago Limited </t>
  </si>
  <si>
    <t>000112940-1</t>
  </si>
  <si>
    <t xml:space="preserve">Shell Trinidad Central Block Limited </t>
  </si>
  <si>
    <t>000121807-9</t>
  </si>
  <si>
    <t>Shell Gas Supply Trinidad Limited</t>
  </si>
  <si>
    <t>000120072-8</t>
  </si>
  <si>
    <t>BG 2/3 Investments Ltd</t>
  </si>
  <si>
    <t>000131024-5</t>
  </si>
  <si>
    <t>Point Fortin LNG Exports Limited</t>
  </si>
  <si>
    <t>000121251-2</t>
  </si>
  <si>
    <t>Trinling Limited</t>
  </si>
  <si>
    <t>000121621-7</t>
  </si>
  <si>
    <t>Shell Trinidad North Coast Limited</t>
  </si>
  <si>
    <t>000102707-9</t>
  </si>
  <si>
    <t xml:space="preserve">BHP Petroleum (Trinidad Block 3) Limited </t>
  </si>
  <si>
    <t>100040632-9</t>
  </si>
  <si>
    <t xml:space="preserve">BHP Petroleum (Trinidad Block 7) Limited </t>
  </si>
  <si>
    <t>100052014-2</t>
  </si>
  <si>
    <t>BHP Petroleum (Trinidad Block 14) Limited</t>
  </si>
  <si>
    <t>100045795-1</t>
  </si>
  <si>
    <t xml:space="preserve">BHP Petroleum (Trinidad Block 23A) Limited </t>
  </si>
  <si>
    <t>100041988-5</t>
  </si>
  <si>
    <t xml:space="preserve">BHP Petroleum (Block 23B) Limited </t>
  </si>
  <si>
    <t>100039974-3</t>
  </si>
  <si>
    <t>BHP (Trinidad-3A) Ltd</t>
  </si>
  <si>
    <t>000122369-5</t>
  </si>
  <si>
    <t>BHP Billiton (Trinidad-2c) Ltd</t>
  </si>
  <si>
    <t>000117683-6</t>
  </si>
  <si>
    <t xml:space="preserve">BHP Billiton Petroleum (Trinidad Block 5) Limited </t>
  </si>
  <si>
    <t>100047966-7</t>
  </si>
  <si>
    <t xml:space="preserve">BHP Billiton Petroleum (Trinidad Block 6) Limited </t>
  </si>
  <si>
    <t>100043183-7</t>
  </si>
  <si>
    <t xml:space="preserve">BHP Petroleum (Trinidad Block 28) Limited </t>
  </si>
  <si>
    <t>100047864-5</t>
  </si>
  <si>
    <t>BHP Petroleum (Trinidad Block 29) Limited</t>
  </si>
  <si>
    <t>100047154-8</t>
  </si>
  <si>
    <t xml:space="preserve">De Novo Energy Block 1A Limited </t>
  </si>
  <si>
    <t>100019007-1</t>
  </si>
  <si>
    <t xml:space="preserve">EOG Resources Trinidad Block 4(a) Unlimited </t>
  </si>
  <si>
    <t>000124867-0</t>
  </si>
  <si>
    <t xml:space="preserve">EOG Resources Trindad Limited </t>
  </si>
  <si>
    <t>000112379-5</t>
  </si>
  <si>
    <t xml:space="preserve">EOG Resources Trinidad - U(A) Block Limited </t>
  </si>
  <si>
    <t>000115200-9</t>
  </si>
  <si>
    <t>EOG Resources Trinidad U(B) Block Unlimited</t>
  </si>
  <si>
    <t>000122055-9</t>
  </si>
  <si>
    <t xml:space="preserve">Lease Operators Ltd </t>
  </si>
  <si>
    <t>000170005-3</t>
  </si>
  <si>
    <t xml:space="preserve">Oil </t>
  </si>
  <si>
    <t>The National Gas Company of Trinidad and Tobago  Limited</t>
  </si>
  <si>
    <t>000170033-8</t>
  </si>
  <si>
    <t>Trinidad and Tobago LNG Limited</t>
  </si>
  <si>
    <t>000123057-8</t>
  </si>
  <si>
    <t>NGC Pipeline Company Limited</t>
  </si>
  <si>
    <t>000119991-0</t>
  </si>
  <si>
    <t xml:space="preserve">NGC E&amp;P (Netherlands) B.V. </t>
  </si>
  <si>
    <t>000115138-5</t>
  </si>
  <si>
    <t xml:space="preserve">NGC E&amp;P Investments (Netherlands) B.V. </t>
  </si>
  <si>
    <t>000115137-2</t>
  </si>
  <si>
    <t>Petroleum Company of Trinidad and Tobago Ltd.</t>
  </si>
  <si>
    <t>000112991-9</t>
  </si>
  <si>
    <t>Heritage Petroleum Company Limited</t>
  </si>
  <si>
    <t>100019677-0</t>
  </si>
  <si>
    <t>Primera Oil and Gas Limited</t>
  </si>
  <si>
    <t>000170013-4</t>
  </si>
  <si>
    <t>Touchstone Exploration (Trinidad) Ltd</t>
  </si>
  <si>
    <t>000170015-0</t>
  </si>
  <si>
    <t>Perenco T&amp;T Limited</t>
  </si>
  <si>
    <t>000128062-5</t>
  </si>
  <si>
    <t>Repsol Angostura Limited</t>
  </si>
  <si>
    <t>100040582-6</t>
  </si>
  <si>
    <t xml:space="preserve">Trinity Exploration and Production (Galeota) Limited </t>
  </si>
  <si>
    <t>10005602-2</t>
  </si>
  <si>
    <t>Trinity Exploration and Production (Trinidad and Tobago) Ltd</t>
  </si>
  <si>
    <t>100046616-1</t>
  </si>
  <si>
    <t xml:space="preserve">Oilbelt Services Limited </t>
  </si>
  <si>
    <t>000170010-5</t>
  </si>
  <si>
    <t xml:space="preserve">National Quarries Company Limited </t>
  </si>
  <si>
    <t>000104756-7</t>
  </si>
  <si>
    <t>Mining</t>
  </si>
  <si>
    <t>Aggregate</t>
  </si>
  <si>
    <t>Lake Asphalt of Trinidad and Tobago (1978) Limited</t>
  </si>
  <si>
    <t>000104806-1</t>
  </si>
  <si>
    <t>Asphalt</t>
  </si>
  <si>
    <t xml:space="preserve">Hermitage Limestone Limited </t>
  </si>
  <si>
    <t>000118944-1</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</si>
  <si>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</si>
  <si>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</si>
  <si>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</si>
  <si>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</si>
  <si>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</si>
  <si>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</si>
  <si>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</si>
  <si>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</si>
  <si>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</si>
  <si>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</si>
  <si>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Exploration and Production</t>
  </si>
  <si>
    <t>B 2/3 Investments Ltd</t>
  </si>
  <si>
    <t>MCF</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</si>
  <si>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</si>
  <si>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</si>
  <si>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</si>
  <si>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</si>
  <si>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</si>
  <si>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</si>
  <si>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</si>
  <si>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</si>
  <si>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</si>
  <si>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</si>
  <si>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</si>
  <si>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</si>
  <si>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</si>
  <si>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</si>
  <si>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</si>
  <si>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</si>
  <si>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</si>
  <si>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</si>
  <si>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</si>
  <si>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</si>
  <si>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</si>
  <si>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Other taxes payable by natural resource companies (116E)</t>
  </si>
  <si>
    <t>Abandonment Provision – Payments into Environmental Escrow Account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</si>
  <si>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</si>
  <si>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Administrative fees for government services (1422E)</t>
  </si>
  <si>
    <t>Administration Fees</t>
  </si>
  <si>
    <t>Other rent payments (1415E5)</t>
  </si>
  <si>
    <t>Annual License acreage payments</t>
  </si>
  <si>
    <t>Ordinary taxes on income, profits and capital gains (1112E1)</t>
  </si>
  <si>
    <t>Business Levy</t>
  </si>
  <si>
    <t>Corporation Tax (CT)</t>
  </si>
  <si>
    <t>From government participation (equity) (1412E2)</t>
  </si>
  <si>
    <t>Dividends paid by State-owned companies</t>
  </si>
  <si>
    <t xml:space="preserve">Green Fund Levy </t>
  </si>
  <si>
    <t>General taxes on goods and services (VAT, sales tax, turnover tax) (1141E)</t>
  </si>
  <si>
    <t xml:space="preserve">Insurance Premium Tax </t>
  </si>
  <si>
    <t>Fines, penalties, and forfeits (143E)</t>
  </si>
  <si>
    <t xml:space="preserve">Interest </t>
  </si>
  <si>
    <t>Minimum Rent E&amp;P</t>
  </si>
  <si>
    <t>Other payments under PSCs</t>
  </si>
  <si>
    <t xml:space="preserve">Penalties </t>
  </si>
  <si>
    <t>Petroleum Impost</t>
  </si>
  <si>
    <t xml:space="preserve">Petroleum Production Levy </t>
  </si>
  <si>
    <t>Petroleum Profits Tax</t>
  </si>
  <si>
    <t>Production Bonus</t>
  </si>
  <si>
    <t>Production Sharing Contract (PSC) share of profits</t>
  </si>
  <si>
    <t>PSC Bidding fees</t>
  </si>
  <si>
    <t>PSC signature bonuses</t>
  </si>
  <si>
    <t>PSC’s Holding Fee</t>
  </si>
  <si>
    <t>R&amp;D Fees</t>
  </si>
  <si>
    <t>Royalties (1415E1)</t>
  </si>
  <si>
    <t>Royalty</t>
  </si>
  <si>
    <t>Scholarships</t>
  </si>
  <si>
    <t>Supplemental Petroleum tax</t>
  </si>
  <si>
    <t>Technical assistance</t>
  </si>
  <si>
    <t>Training Fees</t>
  </si>
  <si>
    <t xml:space="preserve">Transfer fees </t>
  </si>
  <si>
    <t xml:space="preserve">Unemployment Levy (UL) </t>
  </si>
  <si>
    <t>Extraordinary taxes on income, profits and capital gains (1112E2)</t>
  </si>
  <si>
    <t xml:space="preserve">Withholding Tax (WHT) on branch profits </t>
  </si>
  <si>
    <t xml:space="preserve">Withholding Tax (WHT) on dividends </t>
  </si>
  <si>
    <t>Total in USD</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</si>
  <si>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</si>
  <si>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</si>
  <si>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</si>
  <si>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</si>
  <si>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</si>
  <si>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</si>
  <si>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Withholding tax</t>
  </si>
  <si>
    <t>Revenue authority</t>
  </si>
  <si>
    <t>Total</t>
  </si>
  <si>
    <t>Comment 3</t>
  </si>
  <si>
    <t>Please include comments here.</t>
  </si>
  <si>
    <t>Comment 4</t>
  </si>
  <si>
    <t>Comment 5</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</si>
  <si>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</si>
  <si>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</si>
  <si>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</si>
  <si>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</si>
  <si>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</si>
  <si>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</si>
  <si>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</si>
  <si>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</si>
  <si>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</si>
  <si>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</si>
  <si>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</si>
  <si>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</si>
  <si>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</si>
  <si>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</si>
  <si>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</si>
  <si>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</si>
  <si>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</si>
  <si>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</si>
  <si>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&lt;Select unit&gt;</t>
  </si>
  <si>
    <t>Technical Assistance</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</si>
  <si>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</si>
  <si>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</si>
  <si>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</si>
  <si>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</si>
  <si>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</si>
  <si>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</si>
  <si>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</si>
  <si>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</si>
  <si>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</si>
  <si>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</si>
  <si>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</si>
  <si>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</si>
  <si>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</si>
  <si>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</si>
  <si>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</si>
  <si>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</si>
  <si>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</si>
  <si>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</si>
  <si>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</si>
  <si>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</si>
  <si>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</si>
  <si>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</si>
  <si>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</si>
  <si>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</si>
  <si>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</si>
  <si>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</si>
  <si>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</si>
  <si>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</si>
  <si>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</si>
  <si>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</si>
  <si>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2501</t>
  </si>
  <si>
    <t>Salt and pure sodium chloride (2501)</t>
  </si>
  <si>
    <t>Salt and pure sodium chloride (2501),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</si>
  <si>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</si>
  <si>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</si>
  <si>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</si>
  <si>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</si>
  <si>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</si>
  <si>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</si>
  <si>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</si>
  <si>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</si>
  <si>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</si>
  <si>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</si>
  <si>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</si>
  <si>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</si>
  <si>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2502</t>
  </si>
  <si>
    <t>Iron pyrites (2502)</t>
  </si>
  <si>
    <t>Iron pyrites (2502), volume</t>
  </si>
  <si>
    <t>Extraordinary taxes on income, profits and capital gains</t>
  </si>
  <si>
    <t>1112E2</t>
  </si>
  <si>
    <t>Exploration</t>
  </si>
  <si>
    <t>State government</t>
  </si>
  <si>
    <t>Aland Islands</t>
  </si>
  <si>
    <t>AX</t>
  </si>
  <si>
    <t>ALA</t>
  </si>
  <si>
    <t>248</t>
  </si>
  <si>
    <t>EUR</t>
  </si>
  <si>
    <t>Euro</t>
  </si>
  <si>
    <t>2503</t>
  </si>
  <si>
    <t>Sulphur of all kinds (2503)</t>
  </si>
  <si>
    <t>Sulphur of all kinds (2503), volume</t>
  </si>
  <si>
    <t>Taxes on payroll and workforce (112E)</t>
  </si>
  <si>
    <t>Taxes on payroll and workforce</t>
  </si>
  <si>
    <t>112E</t>
  </si>
  <si>
    <t>Production</t>
  </si>
  <si>
    <t>Local government</t>
  </si>
  <si>
    <t>Albania</t>
  </si>
  <si>
    <t>AL</t>
  </si>
  <si>
    <t>ALB</t>
  </si>
  <si>
    <t>8</t>
  </si>
  <si>
    <t>ALL</t>
  </si>
  <si>
    <t>Albanian lek</t>
  </si>
  <si>
    <t>2504</t>
  </si>
  <si>
    <t>Natural graphite (2504)</t>
  </si>
  <si>
    <t>Natural graphite (2504), volume</t>
  </si>
  <si>
    <t>Taxes on property (113E)</t>
  </si>
  <si>
    <t>Taxes on property</t>
  </si>
  <si>
    <t>113E</t>
  </si>
  <si>
    <t>Development</t>
  </si>
  <si>
    <t xml:space="preserve">State-owned enterprises &amp; public corporations </t>
  </si>
  <si>
    <t>Algeria</t>
  </si>
  <si>
    <t>DZ</t>
  </si>
  <si>
    <t>DZA</t>
  </si>
  <si>
    <t>12</t>
  </si>
  <si>
    <t>DZD</t>
  </si>
  <si>
    <t>Algerian dinar</t>
  </si>
  <si>
    <t>2505</t>
  </si>
  <si>
    <t>Natural sands (2505)</t>
  </si>
  <si>
    <t>Natural sands (2505), volume</t>
  </si>
  <si>
    <t>General taxes on goods and services (VAT, sales tax, turnover tax)</t>
  </si>
  <si>
    <t>1141E</t>
  </si>
  <si>
    <t>Taxes on goods and services (114E)</t>
  </si>
  <si>
    <t>Other</t>
  </si>
  <si>
    <t>American Samoa</t>
  </si>
  <si>
    <t>AS</t>
  </si>
  <si>
    <t>ASM</t>
  </si>
  <si>
    <t>16</t>
  </si>
  <si>
    <t>2506</t>
  </si>
  <si>
    <t>Quartz (2506)</t>
  </si>
  <si>
    <t>Quartz (2506), volume</t>
  </si>
  <si>
    <t>Excise taxes (1142E)</t>
  </si>
  <si>
    <t>Excise taxes</t>
  </si>
  <si>
    <t>1142E</t>
  </si>
  <si>
    <t>Andorra</t>
  </si>
  <si>
    <t>AD</t>
  </si>
  <si>
    <t>AND</t>
  </si>
  <si>
    <t>20</t>
  </si>
  <si>
    <t>Table 4 - Currency code list</t>
  </si>
  <si>
    <t>2507</t>
  </si>
  <si>
    <t>Kaolin (2507)</t>
  </si>
  <si>
    <t>Kaolin (2507), volume</t>
  </si>
  <si>
    <t>Licence fees (114521E)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</si>
  <si>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</si>
  <si>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</si>
  <si>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</si>
  <si>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</si>
  <si>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</si>
  <si>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</si>
  <si>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</si>
  <si>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</si>
  <si>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</si>
  <si>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</si>
  <si>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</si>
  <si>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</si>
  <si>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</si>
  <si>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</si>
  <si>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</si>
  <si>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</si>
  <si>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</si>
  <si>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</si>
  <si>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</si>
  <si>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</si>
  <si>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</si>
  <si>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</si>
  <si>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</si>
  <si>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</si>
  <si>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</si>
  <si>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</si>
  <si>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</si>
  <si>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</si>
  <si>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</si>
  <si>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</si>
  <si>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</si>
  <si>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</si>
  <si>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</si>
  <si>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</si>
  <si>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</si>
  <si>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</si>
  <si>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</si>
  <si>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</si>
  <si>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</si>
  <si>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</si>
  <si>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</si>
  <si>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</si>
  <si>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</si>
  <si>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</si>
  <si>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</si>
  <si>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</si>
  <si>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</si>
  <si>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</si>
  <si>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</si>
  <si>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</si>
  <si>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</si>
  <si>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</si>
  <si>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</si>
  <si>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</si>
  <si>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</si>
  <si>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</si>
  <si>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</si>
  <si>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</si>
  <si>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</si>
  <si>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</si>
  <si>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</si>
  <si>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</si>
  <si>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</si>
  <si>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</si>
  <si>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</si>
  <si>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</si>
  <si>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</si>
  <si>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</si>
  <si>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</si>
  <si>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</si>
  <si>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</si>
  <si>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</si>
  <si>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</si>
  <si>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</si>
  <si>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</si>
  <si>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</si>
  <si>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</si>
  <si>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</si>
  <si>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</si>
  <si>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</si>
  <si>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</si>
  <si>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</si>
  <si>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</si>
  <si>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</si>
  <si>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</si>
  <si>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</si>
  <si>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</si>
  <si>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</si>
  <si>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</si>
  <si>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</si>
  <si>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</si>
  <si>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</si>
  <si>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</si>
  <si>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</si>
  <si>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</si>
  <si>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</si>
  <si>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</si>
  <si>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</si>
  <si>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</si>
  <si>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</si>
  <si>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</si>
  <si>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</si>
  <si>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</si>
  <si>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</si>
  <si>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</si>
  <si>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</si>
  <si>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</si>
  <si>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</si>
  <si>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</si>
  <si>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</si>
  <si>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</si>
  <si>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</si>
  <si>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</si>
  <si>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</si>
  <si>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</si>
  <si>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</si>
  <si>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</si>
  <si>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</si>
  <si>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</si>
  <si>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</si>
  <si>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</si>
  <si>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</si>
  <si>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</si>
  <si>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</si>
  <si>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</si>
  <si>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</si>
  <si>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</si>
  <si>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</si>
  <si>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</si>
  <si>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</si>
  <si>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</si>
  <si>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</si>
  <si>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</si>
  <si>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</si>
  <si>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</si>
  <si>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</si>
  <si>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</si>
  <si>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</si>
  <si>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</si>
  <si>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</si>
  <si>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</si>
  <si>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</si>
  <si>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</si>
  <si>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</si>
  <si>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</si>
  <si>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</si>
  <si>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</si>
  <si>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</si>
  <si>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</si>
  <si>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</si>
  <si>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</si>
  <si>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</si>
  <si>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</si>
  <si>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</si>
  <si>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</si>
  <si>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</si>
  <si>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</si>
  <si>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</si>
  <si>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</si>
  <si>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</si>
  <si>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</si>
  <si>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</si>
  <si>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</si>
  <si>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</si>
  <si>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</si>
  <si>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</si>
  <si>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</si>
  <si>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</si>
  <si>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</si>
  <si>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</si>
  <si>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</si>
  <si>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</si>
  <si>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</si>
  <si>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</si>
  <si>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</si>
  <si>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</si>
  <si>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</si>
  <si>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</si>
  <si>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</si>
  <si>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</si>
  <si>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</si>
  <si>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</si>
  <si>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</si>
  <si>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</si>
  <si>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</si>
  <si>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</si>
  <si>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</si>
  <si>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</si>
  <si>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</si>
  <si>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</si>
  <si>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</si>
  <si>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</si>
  <si>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</si>
  <si>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</si>
  <si>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</si>
  <si>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</si>
  <si>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</si>
  <si>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</si>
  <si>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</si>
  <si>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</si>
  <si>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</si>
  <si>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</si>
  <si>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</si>
  <si>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</si>
  <si>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</si>
  <si>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</si>
  <si>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</si>
  <si>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</si>
  <si>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</si>
  <si>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</si>
  <si>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</si>
  <si>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</si>
  <si>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</si>
  <si>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</si>
  <si>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</si>
  <si>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</si>
  <si>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</si>
  <si>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</si>
  <si>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</si>
  <si>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</si>
  <si>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</si>
  <si>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</si>
  <si>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</si>
  <si>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</si>
  <si>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</si>
  <si>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</si>
  <si>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</si>
  <si>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</si>
  <si>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</si>
  <si>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</si>
  <si>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</si>
  <si>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</si>
  <si>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</si>
  <si>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</si>
  <si>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</si>
  <si>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</si>
  <si>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</si>
  <si>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</si>
  <si>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</si>
  <si>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</si>
  <si>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</si>
  <si>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</si>
  <si>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</si>
  <si>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</si>
  <si>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</si>
  <si>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</si>
  <si>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</si>
  <si>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</si>
  <si>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</si>
  <si>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</si>
  <si>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</si>
  <si>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</si>
  <si>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</si>
  <si>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</si>
  <si>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</si>
  <si>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</si>
  <si>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</si>
  <si>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</si>
  <si>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</si>
  <si>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</si>
  <si>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</si>
  <si>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</si>
  <si>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</si>
  <si>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</si>
  <si>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</si>
  <si>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</si>
  <si>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</si>
  <si>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</si>
  <si>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</si>
  <si>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</si>
  <si>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</si>
  <si>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</si>
  <si>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</si>
  <si>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</si>
  <si>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</si>
  <si>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British Indian Ocean Territory</t>
  </si>
  <si>
    <t>IO</t>
  </si>
  <si>
    <t>IOT</t>
  </si>
  <si>
    <t>86</t>
  </si>
  <si>
    <t>2601</t>
  </si>
  <si>
    <t>Iron (2601)</t>
  </si>
  <si>
    <t>Iron (2601), volume</t>
  </si>
  <si>
    <t>British Virgin Islands</t>
  </si>
  <si>
    <t>VG</t>
  </si>
  <si>
    <t>VGB</t>
  </si>
  <si>
    <t>92</t>
  </si>
  <si>
    <t>2602</t>
  </si>
  <si>
    <t>Manganese (2602)</t>
  </si>
  <si>
    <t>Manganese (2602), volume</t>
  </si>
  <si>
    <t>Brunei Darussalam</t>
  </si>
  <si>
    <t>BN</t>
  </si>
  <si>
    <t>BRN</t>
  </si>
  <si>
    <t>96</t>
  </si>
  <si>
    <t>2603</t>
  </si>
  <si>
    <t>Copper (2603)</t>
  </si>
  <si>
    <t>Copper (2603), volume</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</si>
  <si>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</si>
  <si>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</si>
  <si>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</si>
  <si>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</si>
  <si>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</si>
  <si>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</si>
  <si>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</si>
  <si>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</si>
  <si>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</si>
  <si>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</si>
  <si>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</si>
  <si>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</si>
  <si>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</si>
  <si>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</si>
  <si>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</si>
  <si>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</si>
  <si>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</si>
  <si>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</si>
  <si>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</si>
  <si>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</si>
  <si>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</si>
  <si>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</si>
  <si>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</si>
  <si>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</si>
  <si>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</si>
  <si>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</si>
  <si>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</si>
  <si>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</si>
  <si>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</si>
  <si>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</si>
  <si>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</si>
  <si>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</si>
  <si>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</si>
  <si>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</si>
  <si>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</si>
  <si>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</si>
  <si>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</si>
  <si>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</si>
  <si>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</si>
  <si>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</si>
  <si>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</si>
  <si>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</si>
  <si>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</si>
  <si>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</si>
  <si>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</si>
  <si>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</si>
  <si>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</si>
  <si>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</si>
  <si>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</si>
  <si>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</si>
  <si>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</si>
  <si>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</si>
  <si>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</si>
  <si>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</si>
  <si>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</si>
  <si>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</si>
  <si>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</si>
  <si>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</si>
  <si>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</si>
  <si>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</si>
  <si>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</si>
  <si>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</si>
  <si>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</si>
  <si>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</si>
  <si>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</si>
  <si>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</si>
  <si>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</si>
  <si>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</si>
  <si>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</si>
  <si>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</si>
  <si>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</si>
  <si>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</si>
  <si>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</si>
  <si>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</si>
  <si>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</si>
  <si>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</si>
  <si>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</si>
  <si>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</si>
  <si>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</si>
  <si>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</si>
  <si>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</si>
  <si>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</si>
  <si>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</si>
  <si>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</si>
  <si>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</si>
  <si>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</si>
  <si>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</si>
  <si>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</si>
  <si>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</si>
  <si>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</si>
  <si>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</si>
  <si>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</si>
  <si>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</si>
  <si>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</si>
  <si>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</si>
  <si>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</si>
  <si>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</si>
  <si>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</si>
  <si>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</si>
  <si>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</si>
  <si>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</si>
  <si>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</si>
  <si>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</si>
  <si>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</si>
  <si>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</si>
  <si>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</si>
  <si>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</si>
  <si>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</si>
  <si>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</si>
  <si>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</si>
  <si>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</si>
  <si>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</si>
  <si>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</si>
  <si>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</si>
  <si>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</si>
  <si>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</si>
  <si>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</si>
  <si>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</si>
  <si>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</si>
  <si>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</si>
  <si>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</si>
  <si>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</si>
  <si>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</si>
  <si>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</si>
  <si>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</si>
  <si>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</si>
  <si>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</si>
  <si>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</si>
  <si>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</si>
  <si>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</si>
  <si>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</si>
  <si>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</si>
  <si>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</si>
  <si>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</si>
  <si>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</si>
  <si>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</si>
  <si>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</si>
  <si>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</si>
  <si>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</si>
  <si>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</si>
  <si>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</si>
  <si>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</si>
  <si>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</si>
  <si>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</si>
  <si>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</si>
  <si>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</si>
  <si>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</si>
  <si>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</si>
  <si>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</si>
  <si>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</si>
  <si>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</si>
  <si>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</si>
  <si>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</si>
  <si>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</si>
  <si>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</si>
  <si>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</si>
  <si>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</si>
  <si>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</si>
  <si>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</si>
  <si>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</si>
  <si>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</si>
  <si>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</si>
  <si>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</si>
  <si>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</si>
  <si>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</si>
  <si>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</si>
  <si>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</si>
  <si>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</si>
  <si>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</si>
  <si>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</si>
  <si>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</si>
  <si>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</si>
  <si>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</si>
  <si>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</si>
  <si>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</si>
  <si>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</si>
  <si>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Coal (2701), volume</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</si>
  <si>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</si>
  <si>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</si>
  <si>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</si>
  <si>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</si>
  <si>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</si>
  <si>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</si>
  <si>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</si>
  <si>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</si>
  <si>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</si>
  <si>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</si>
  <si>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</si>
  <si>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</si>
  <si>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</si>
  <si>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</si>
  <si>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</si>
  <si>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</si>
  <si>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</si>
  <si>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</si>
  <si>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</si>
  <si>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</si>
  <si>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</si>
  <si>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</si>
  <si>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</si>
  <si>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</si>
  <si>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</si>
  <si>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</si>
  <si>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</si>
  <si>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</si>
  <si>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</si>
  <si>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</si>
  <si>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</si>
  <si>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</si>
  <si>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</si>
  <si>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</si>
  <si>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</si>
  <si>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</si>
  <si>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</si>
  <si>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</si>
  <si>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</si>
  <si>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</si>
  <si>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</si>
  <si>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</si>
  <si>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</si>
  <si>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</si>
  <si>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</si>
  <si>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</si>
  <si>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</si>
  <si>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</si>
  <si>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</si>
  <si>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</si>
  <si>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</si>
  <si>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</si>
  <si>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</si>
  <si>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</si>
  <si>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</si>
  <si>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</si>
  <si>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</si>
  <si>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</si>
  <si>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</si>
  <si>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</si>
  <si>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</si>
  <si>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</si>
  <si>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</si>
  <si>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</si>
  <si>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</si>
  <si>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</si>
  <si>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</si>
  <si>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</si>
  <si>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</si>
  <si>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</si>
  <si>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</si>
  <si>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</si>
  <si>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</si>
  <si>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</si>
  <si>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</si>
  <si>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</si>
  <si>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</si>
  <si>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</si>
  <si>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</si>
  <si>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</si>
  <si>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</si>
  <si>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</si>
  <si>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</si>
  <si>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</si>
  <si>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</si>
  <si>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</si>
  <si>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</si>
  <si>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</si>
  <si>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</si>
  <si>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</si>
  <si>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</si>
  <si>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</si>
  <si>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</si>
  <si>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</si>
  <si>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</si>
  <si>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</si>
  <si>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</si>
  <si>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</si>
  <si>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</si>
  <si>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</si>
  <si>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</si>
  <si>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</si>
  <si>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</si>
  <si>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</si>
  <si>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</si>
  <si>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</si>
  <si>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</si>
  <si>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</si>
  <si>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</si>
  <si>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</si>
  <si>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</si>
  <si>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</si>
  <si>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</si>
  <si>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</si>
  <si>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</si>
  <si>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</si>
  <si>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</si>
  <si>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</si>
  <si>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</si>
  <si>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</si>
  <si>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</si>
  <si>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</si>
  <si>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</si>
  <si>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</si>
  <si>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</si>
  <si>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</si>
  <si>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</si>
  <si>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</si>
  <si>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</si>
  <si>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</si>
  <si>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</si>
  <si>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</si>
  <si>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</si>
  <si>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</si>
  <si>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</si>
  <si>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</si>
  <si>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</si>
  <si>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</si>
  <si>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</si>
  <si>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</si>
  <si>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</si>
  <si>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</si>
  <si>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</si>
  <si>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</si>
  <si>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</si>
  <si>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</si>
  <si>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</si>
  <si>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</si>
  <si>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</si>
  <si>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Silver (7106), volume</t>
  </si>
  <si>
    <t>Faroe Islands</t>
  </si>
  <si>
    <t>FO</t>
  </si>
  <si>
    <t>FRO</t>
  </si>
  <si>
    <t>234</t>
  </si>
  <si>
    <t>IMP</t>
  </si>
  <si>
    <t>Isle of Man Pound</t>
  </si>
  <si>
    <t>7108</t>
  </si>
  <si>
    <t>Gold (7108)</t>
  </si>
  <si>
    <t>Gold (7108), volume</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</si>
  <si>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</si>
  <si>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</si>
  <si>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</si>
  <si>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</si>
  <si>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</si>
  <si>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</si>
  <si>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</si>
  <si>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</si>
  <si>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</si>
  <si>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</si>
  <si>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</si>
  <si>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</si>
  <si>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</si>
  <si>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</si>
  <si>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</si>
  <si>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</si>
  <si>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</si>
  <si>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</si>
  <si>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</si>
  <si>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</si>
  <si>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</si>
  <si>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</si>
  <si>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</si>
  <si>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</si>
  <si>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</si>
  <si>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</si>
  <si>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</si>
  <si>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</si>
  <si>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</si>
  <si>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</si>
  <si>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</si>
  <si>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</si>
  <si>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</si>
  <si>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</si>
  <si>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</si>
  <si>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</si>
  <si>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</si>
  <si>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</si>
  <si>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</si>
  <si>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</si>
  <si>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</si>
  <si>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</si>
  <si>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</si>
  <si>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</si>
  <si>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</si>
  <si>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</si>
  <si>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</si>
  <si>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</si>
  <si>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</si>
  <si>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</si>
  <si>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</si>
  <si>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</si>
  <si>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</si>
  <si>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</si>
  <si>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</si>
  <si>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</si>
  <si>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</si>
  <si>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</si>
  <si>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</si>
  <si>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</si>
  <si>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</si>
  <si>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</si>
  <si>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</si>
  <si>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</si>
  <si>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</si>
  <si>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</si>
  <si>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</si>
  <si>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</si>
  <si>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</si>
  <si>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</si>
  <si>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</si>
  <si>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</si>
  <si>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</si>
  <si>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</si>
  <si>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</si>
  <si>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</si>
  <si>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</si>
  <si>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</si>
  <si>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</si>
  <si>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</si>
  <si>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</si>
  <si>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</si>
  <si>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</si>
  <si>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</si>
  <si>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</si>
  <si>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</si>
  <si>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</si>
  <si>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</si>
  <si>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</si>
  <si>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</si>
  <si>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</si>
  <si>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</si>
  <si>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</si>
  <si>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</si>
  <si>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</si>
  <si>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</si>
  <si>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</si>
  <si>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</si>
  <si>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</si>
  <si>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</si>
  <si>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</si>
  <si>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</si>
  <si>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</si>
  <si>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</si>
  <si>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</si>
  <si>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</si>
  <si>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</si>
  <si>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</si>
  <si>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</si>
  <si>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</si>
  <si>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</si>
  <si>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</si>
  <si>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</si>
  <si>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</si>
  <si>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</si>
  <si>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</si>
  <si>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</si>
  <si>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</si>
  <si>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</si>
  <si>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</si>
  <si>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</si>
  <si>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</si>
  <si>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</si>
  <si>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</si>
  <si>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</si>
  <si>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</si>
  <si>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</si>
  <si>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</si>
  <si>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</si>
  <si>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</si>
  <si>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</si>
  <si>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</si>
  <si>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</si>
  <si>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</si>
  <si>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</si>
  <si>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</si>
  <si>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</si>
  <si>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</si>
  <si>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</si>
  <si>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</si>
  <si>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</si>
  <si>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</si>
  <si>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</si>
  <si>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</si>
  <si>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</si>
  <si>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</si>
  <si>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</si>
  <si>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</si>
  <si>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</si>
  <si>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</si>
  <si>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</si>
  <si>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</si>
  <si>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</si>
  <si>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</si>
  <si>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</si>
  <si>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</si>
  <si>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</si>
  <si>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</si>
  <si>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</si>
  <si>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</si>
  <si>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</si>
  <si>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</si>
  <si>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</si>
  <si>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</si>
  <si>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</si>
  <si>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</si>
  <si>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</si>
  <si>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</si>
  <si>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</si>
  <si>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</si>
  <si>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</si>
  <si>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</si>
  <si>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</si>
  <si>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</si>
  <si>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</si>
  <si>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</si>
  <si>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</si>
  <si>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</si>
  <si>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</si>
  <si>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</si>
  <si>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</si>
  <si>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</si>
  <si>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</si>
  <si>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</si>
  <si>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</si>
  <si>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</si>
  <si>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</si>
  <si>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</si>
  <si>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</si>
  <si>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</si>
  <si>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</si>
  <si>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</si>
  <si>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</si>
  <si>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</si>
  <si>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</si>
  <si>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</si>
  <si>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</si>
  <si>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</si>
  <si>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</si>
  <si>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</si>
  <si>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</si>
  <si>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</si>
  <si>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</si>
  <si>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</si>
  <si>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</si>
  <si>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</si>
  <si>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</si>
  <si>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</si>
  <si>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</si>
  <si>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</si>
  <si>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</si>
  <si>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</si>
  <si>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</si>
  <si>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</si>
  <si>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</si>
  <si>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</si>
  <si>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</si>
  <si>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</si>
  <si>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</si>
  <si>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</si>
  <si>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</si>
  <si>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</si>
  <si>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</si>
  <si>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</si>
  <si>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</si>
  <si>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</si>
  <si>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</si>
  <si>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</si>
  <si>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</si>
  <si>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</si>
  <si>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</si>
  <si>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</si>
  <si>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</si>
  <si>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</si>
  <si>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</si>
  <si>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</si>
  <si>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</si>
  <si>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</si>
  <si>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</si>
  <si>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</si>
  <si>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</si>
  <si>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</si>
  <si>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</si>
  <si>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</si>
  <si>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</si>
  <si>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</si>
  <si>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</si>
  <si>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</si>
  <si>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</si>
  <si>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</si>
  <si>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</si>
  <si>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</si>
  <si>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</si>
  <si>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</si>
  <si>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</si>
  <si>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</si>
  <si>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</si>
  <si>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</si>
  <si>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</si>
  <si>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</si>
  <si>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</si>
  <si>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</si>
  <si>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</si>
  <si>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</si>
  <si>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</si>
  <si>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</si>
  <si>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</si>
  <si>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</si>
  <si>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</si>
  <si>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</si>
  <si>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</si>
  <si>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</si>
  <si>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</si>
  <si>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</si>
  <si>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</si>
  <si>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</si>
  <si>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</si>
  <si>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</si>
  <si>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</si>
  <si>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</si>
  <si>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</si>
  <si>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</si>
  <si>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</si>
  <si>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</si>
  <si>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</si>
  <si>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</si>
  <si>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</si>
  <si>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</si>
  <si>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</si>
  <si>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</si>
  <si>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</si>
  <si>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</si>
  <si>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</si>
  <si>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</si>
  <si>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</si>
  <si>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</si>
  <si>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</si>
  <si>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</si>
  <si>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</si>
  <si>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</si>
  <si>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</si>
  <si>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</si>
  <si>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</si>
  <si>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</si>
  <si>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</si>
  <si>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</si>
  <si>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</si>
  <si>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</si>
  <si>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</si>
  <si>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</si>
  <si>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</si>
  <si>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</si>
  <si>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</si>
  <si>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</si>
  <si>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</si>
  <si>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</si>
  <si>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</si>
  <si>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</si>
  <si>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</si>
  <si>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</si>
  <si>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</si>
  <si>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</si>
  <si>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</si>
  <si>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</si>
  <si>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</si>
  <si>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</si>
  <si>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</si>
  <si>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</si>
  <si>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</si>
  <si>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</si>
  <si>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</si>
  <si>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</si>
  <si>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</si>
  <si>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</si>
  <si>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</si>
  <si>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</si>
  <si>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</si>
  <si>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</si>
  <si>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</si>
  <si>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</si>
  <si>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</si>
  <si>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</si>
  <si>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</si>
  <si>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</si>
  <si>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</si>
  <si>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</si>
  <si>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</si>
  <si>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</si>
  <si>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</si>
  <si>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</si>
  <si>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</si>
  <si>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</si>
  <si>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</si>
  <si>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</si>
  <si>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</si>
  <si>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</si>
  <si>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</si>
  <si>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</si>
  <si>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</si>
  <si>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</si>
  <si>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</si>
  <si>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</si>
  <si>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</si>
  <si>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</si>
  <si>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</si>
  <si>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</si>
  <si>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</si>
  <si>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</si>
  <si>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</si>
  <si>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</si>
  <si>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</si>
  <si>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</si>
  <si>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</si>
  <si>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</si>
  <si>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</si>
  <si>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</si>
  <si>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</si>
  <si>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</si>
  <si>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</si>
  <si>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</si>
  <si>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</si>
  <si>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</si>
  <si>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</si>
  <si>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</si>
  <si>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</si>
  <si>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</si>
  <si>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</si>
  <si>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</si>
  <si>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</si>
  <si>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</si>
  <si>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</si>
  <si>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</si>
  <si>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</si>
  <si>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</si>
  <si>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</si>
  <si>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</si>
  <si>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</si>
  <si>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</si>
  <si>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</si>
  <si>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</si>
  <si>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</si>
  <si>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</si>
  <si>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</si>
  <si>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</si>
  <si>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</si>
  <si>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</si>
  <si>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</si>
  <si>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</si>
  <si>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</si>
  <si>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</si>
  <si>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</si>
  <si>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</si>
  <si>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</si>
  <si>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</si>
  <si>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</si>
  <si>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</si>
  <si>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</si>
  <si>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</si>
  <si>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</si>
  <si>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</si>
  <si>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</si>
  <si>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</si>
  <si>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</si>
  <si>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</si>
  <si>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</si>
  <si>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</si>
  <si>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</si>
  <si>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</si>
  <si>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</si>
  <si>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</si>
  <si>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</si>
  <si>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</si>
  <si>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</si>
  <si>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</si>
  <si>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</si>
  <si>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</si>
  <si>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</si>
  <si>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</si>
  <si>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</si>
  <si>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</si>
  <si>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</si>
  <si>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</si>
  <si>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</si>
  <si>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</si>
  <si>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</si>
  <si>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</si>
  <si>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</si>
  <si>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</si>
  <si>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</si>
  <si>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</si>
  <si>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</si>
  <si>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</si>
  <si>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</si>
  <si>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</si>
  <si>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</si>
  <si>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</si>
  <si>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</si>
  <si>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</si>
  <si>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</si>
  <si>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</si>
  <si>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</si>
  <si>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</si>
  <si>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</si>
  <si>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</si>
  <si>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</si>
  <si>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</si>
  <si>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</si>
  <si>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</si>
  <si>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</si>
  <si>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</si>
  <si>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</si>
  <si>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</si>
  <si>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</si>
  <si>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</si>
  <si>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</si>
  <si>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</si>
  <si>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</si>
  <si>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</si>
  <si>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</si>
  <si>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</si>
  <si>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</si>
  <si>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</si>
  <si>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</si>
  <si>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</si>
  <si>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</si>
  <si>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</si>
  <si>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</si>
  <si>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</si>
  <si>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</si>
  <si>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</si>
  <si>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</si>
  <si>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</si>
  <si>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</si>
  <si>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</si>
  <si>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</si>
  <si>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</si>
  <si>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</si>
  <si>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</si>
  <si>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</si>
  <si>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</si>
  <si>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</si>
  <si>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</si>
  <si>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</si>
  <si>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</si>
  <si>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</si>
  <si>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</si>
  <si>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</si>
  <si>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</si>
  <si>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</si>
  <si>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</si>
  <si>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</si>
  <si>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</si>
  <si>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</si>
  <si>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</si>
  <si>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</si>
  <si>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</si>
  <si>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</si>
  <si>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</si>
  <si>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</si>
  <si>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</si>
  <si>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</si>
  <si>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</si>
  <si>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</si>
  <si>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</si>
  <si>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</si>
  <si>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</si>
  <si>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</si>
  <si>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</si>
  <si>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</si>
  <si>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</si>
  <si>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</si>
  <si>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</si>
  <si>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</si>
  <si>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</si>
  <si>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</si>
  <si>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</si>
  <si>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</si>
  <si>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</si>
  <si>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</si>
  <si>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</si>
  <si>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</si>
  <si>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</si>
  <si>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</si>
  <si>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</si>
  <si>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</si>
  <si>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</si>
  <si>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</si>
  <si>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</si>
  <si>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</si>
  <si>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</si>
  <si>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</si>
  <si>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</si>
  <si>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</si>
  <si>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</si>
  <si>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</si>
  <si>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</si>
  <si>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</si>
  <si>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</si>
  <si>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</si>
  <si>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</si>
  <si>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</si>
  <si>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</si>
  <si>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</si>
  <si>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</si>
  <si>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</si>
  <si>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</si>
  <si>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</si>
  <si>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</si>
  <si>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</si>
  <si>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</si>
  <si>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</si>
  <si>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</si>
  <si>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</si>
  <si>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</si>
  <si>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</si>
  <si>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</si>
  <si>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</si>
  <si>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</si>
  <si>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</si>
  <si>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</si>
  <si>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</si>
  <si>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</si>
  <si>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</si>
  <si>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</si>
  <si>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</si>
  <si>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</si>
  <si>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</si>
  <si>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</si>
  <si>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</si>
  <si>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</si>
  <si>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</si>
  <si>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</si>
  <si>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</si>
  <si>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</si>
  <si>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</si>
  <si>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</si>
  <si>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</si>
  <si>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</si>
  <si>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</si>
  <si>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</si>
  <si>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</si>
  <si>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</si>
  <si>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</si>
  <si>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</si>
  <si>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</si>
  <si>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</si>
  <si>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</si>
  <si>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</si>
  <si>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</si>
  <si>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</si>
  <si>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</si>
  <si>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</si>
  <si>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</si>
  <si>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</si>
  <si>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</si>
  <si>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</si>
  <si>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</si>
  <si>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</si>
  <si>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</si>
  <si>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</si>
  <si>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</si>
  <si>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</si>
  <si>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</si>
  <si>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</si>
  <si>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</si>
  <si>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</si>
  <si>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</si>
  <si>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</si>
  <si>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</si>
  <si>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</si>
  <si>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</si>
  <si>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</si>
  <si>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</si>
  <si>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</si>
  <si>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</si>
  <si>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</si>
  <si>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</si>
  <si>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</si>
  <si>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</si>
  <si>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</si>
  <si>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</si>
  <si>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</si>
  <si>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</si>
  <si>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</si>
  <si>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</si>
  <si>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</si>
  <si>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</si>
  <si>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</si>
  <si>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</si>
  <si>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</si>
  <si>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</si>
  <si>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</si>
  <si>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</si>
  <si>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</si>
  <si>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</si>
  <si>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</si>
  <si>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</si>
  <si>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</si>
  <si>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</si>
  <si>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</si>
  <si>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</si>
  <si>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</si>
  <si>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</si>
  <si>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</si>
  <si>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</si>
  <si>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</si>
  <si>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</si>
  <si>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</si>
  <si>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</si>
  <si>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</si>
  <si>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</si>
  <si>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</si>
  <si>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</si>
  <si>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</si>
  <si>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</si>
  <si>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</si>
  <si>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</si>
  <si>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</si>
  <si>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</si>
  <si>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</si>
  <si>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</si>
  <si>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</si>
  <si>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</si>
  <si>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</si>
  <si>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</si>
  <si>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</si>
  <si>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</si>
  <si>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</si>
  <si>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</si>
  <si>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</si>
  <si>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</si>
  <si>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</si>
  <si>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</si>
  <si>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</si>
  <si>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</si>
  <si>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</si>
  <si>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</si>
  <si>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</si>
  <si>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</si>
  <si>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</si>
  <si>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</si>
  <si>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</si>
  <si>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</si>
  <si>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</si>
  <si>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</si>
  <si>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</si>
  <si>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</si>
  <si>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</si>
  <si>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</si>
  <si>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</si>
  <si>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</si>
  <si>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</si>
  <si>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</si>
  <si>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</si>
  <si>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</si>
  <si>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</si>
  <si>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</si>
  <si>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</si>
  <si>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</si>
  <si>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</si>
  <si>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</si>
  <si>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</si>
  <si>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</si>
  <si>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</si>
  <si>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</si>
  <si>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</si>
  <si>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</si>
  <si>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</si>
  <si>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</si>
  <si>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</si>
  <si>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</si>
  <si>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</si>
  <si>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</si>
  <si>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</si>
  <si>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</si>
  <si>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</si>
  <si>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</si>
  <si>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</si>
  <si>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</si>
  <si>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</si>
  <si>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</si>
  <si>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</si>
  <si>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</si>
  <si>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</si>
  <si>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</si>
  <si>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</si>
  <si>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</si>
  <si>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</si>
  <si>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</si>
  <si>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</si>
  <si>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</si>
  <si>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</si>
  <si>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</si>
  <si>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</si>
  <si>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</si>
  <si>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</si>
  <si>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</si>
  <si>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</si>
  <si>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</si>
  <si>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</si>
  <si>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</si>
  <si>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</si>
  <si>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</si>
  <si>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</si>
  <si>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</si>
  <si>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</si>
  <si>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</si>
  <si>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</si>
  <si>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</si>
  <si>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</si>
  <si>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</si>
  <si>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</si>
  <si>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</si>
  <si>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</si>
  <si>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</si>
  <si>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</si>
  <si>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</si>
  <si>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</si>
  <si>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</si>
  <si>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</si>
  <si>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</si>
  <si>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</si>
  <si>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</si>
  <si>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</si>
  <si>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</si>
  <si>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</si>
  <si>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</si>
  <si>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</si>
  <si>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</si>
  <si>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</si>
  <si>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</si>
  <si>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</si>
  <si>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</si>
  <si>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</si>
  <si>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</si>
  <si>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</si>
  <si>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</si>
  <si>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</si>
  <si>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</si>
  <si>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</si>
  <si>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</si>
  <si>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</si>
  <si>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</si>
  <si>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</si>
  <si>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</si>
  <si>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</si>
  <si>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</si>
  <si>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</si>
  <si>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</si>
  <si>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</si>
  <si>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</si>
  <si>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</si>
  <si>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</si>
  <si>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</si>
  <si>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</si>
  <si>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</si>
  <si>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</si>
  <si>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</si>
  <si>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</si>
  <si>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</si>
  <si>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</si>
  <si>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</si>
  <si>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</si>
  <si>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</si>
  <si>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</si>
  <si>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</si>
  <si>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</si>
  <si>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</si>
  <si>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</si>
  <si>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</si>
  <si>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</si>
  <si>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</si>
  <si>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</si>
  <si>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</si>
  <si>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</si>
  <si>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</si>
  <si>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</si>
  <si>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</si>
  <si>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</si>
  <si>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</si>
  <si>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</si>
  <si>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</si>
  <si>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</si>
  <si>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</si>
  <si>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</si>
  <si>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</si>
  <si>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</si>
  <si>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</si>
  <si>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</si>
  <si>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</si>
  <si>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</si>
  <si>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</si>
  <si>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</si>
  <si>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</si>
  <si>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</si>
  <si>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</si>
  <si>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</si>
  <si>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</si>
  <si>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</si>
  <si>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</si>
  <si>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</si>
  <si>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</si>
  <si>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</si>
  <si>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</si>
  <si>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</si>
  <si>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</si>
  <si>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</si>
  <si>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</si>
  <si>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</si>
  <si>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</si>
  <si>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</si>
  <si>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Sm3 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</si>
</sst>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 #,##0.00_ ;_ * \-#,##0.00_ ;_ * &quot;-&quot;??_ ;_ @_ "/>
    <numFmt numFmtId="165" formatCode="yyyy\-mm\-dd"/>
    <numFmt numFmtId="166" formatCode="0.0\ %"/>
    <numFmt numFmtId="167" formatCode="_ * #,##0_ ;_ * \-#,##0_ ;_ * &quot;-&quot;??_ ;_ @_ "/>
  </numFmts>
  <fonts count="75" x14ac:knownFonts="1">
    <font>
      <sz val="10.5"/>
      <color theme="1"/>
      <name val="Calibri"/>
      <family val="2"/>
    </font>
    <font>
      <sz val="12"/>
      <color theme="1"/>
      <name val="Calibri"/>
      <family val="2"/>
      <scheme val="minor"/>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2"/>
      <color theme="1"/>
      <name val="Calibri"/>
      <family val="2"/>
    </font>
    <font>
      <sz val="10.5"/>
      <color rgb="FF242424"/>
      <name val="Segoe UI"/>
      <family val="2"/>
    </font>
  </fonts>
  <fills count="11">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6A70A"/>
        <bgColor rgb="FF000000"/>
      </patternFill>
    </fill>
    <fill>
      <patternFill patternType="solid">
        <fgColor rgb="FFD9E1F2"/>
        <bgColor rgb="FF000000"/>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s>
  <cellStyleXfs count="8">
    <xf numFmtId="0" fontId="0" fillId="0" borderId="0"/>
    <xf numFmtId="164"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0" fontId="1" fillId="0" borderId="0"/>
  </cellStyleXfs>
  <cellXfs count="334">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22" fillId="0" borderId="0" xfId="0" applyFont="1"/>
    <xf numFmtId="0" fontId="24" fillId="0" borderId="0" xfId="0" applyFont="1"/>
    <xf numFmtId="0" fontId="33" fillId="0" borderId="0" xfId="3" applyFont="1" applyAlignment="1">
      <alignment horizontal="left" vertical="center"/>
    </xf>
    <xf numFmtId="0" fontId="3" fillId="0" borderId="0" xfId="0" applyFont="1"/>
    <xf numFmtId="0" fontId="33" fillId="4" borderId="0" xfId="3" applyFont="1" applyFill="1" applyAlignment="1">
      <alignment horizontal="left" vertical="center"/>
    </xf>
    <xf numFmtId="0" fontId="24" fillId="4" borderId="0" xfId="3" applyFont="1" applyFill="1" applyAlignment="1">
      <alignment vertical="center"/>
    </xf>
    <xf numFmtId="0" fontId="39" fillId="4" borderId="0" xfId="2" applyFont="1" applyFill="1" applyBorder="1" applyAlignment="1"/>
    <xf numFmtId="0" fontId="30" fillId="0" borderId="35" xfId="3" applyFont="1" applyBorder="1" applyAlignment="1">
      <alignment horizontal="left" vertical="center"/>
    </xf>
    <xf numFmtId="0" fontId="40" fillId="4"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40" xfId="3" applyFont="1" applyBorder="1" applyAlignment="1">
      <alignment horizontal="left" vertical="center"/>
    </xf>
    <xf numFmtId="0" fontId="43" fillId="0" borderId="40" xfId="3" applyFont="1" applyBorder="1" applyAlignment="1">
      <alignment horizontal="left" vertical="center"/>
    </xf>
    <xf numFmtId="0" fontId="34" fillId="0" borderId="40"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3" fillId="0" borderId="0" xfId="0" applyFont="1"/>
    <xf numFmtId="0" fontId="34" fillId="5" borderId="0" xfId="3" applyFont="1" applyFill="1" applyAlignment="1">
      <alignment horizontal="left" vertical="center"/>
    </xf>
    <xf numFmtId="0" fontId="24" fillId="5" borderId="0" xfId="3" applyFont="1" applyFill="1" applyAlignment="1">
      <alignment horizontal="left" vertical="center"/>
    </xf>
    <xf numFmtId="0" fontId="36" fillId="5" borderId="0" xfId="3" applyFont="1" applyFill="1" applyAlignment="1">
      <alignment vertical="center"/>
    </xf>
    <xf numFmtId="0" fontId="34" fillId="5" borderId="0" xfId="3" applyFont="1" applyFill="1" applyAlignment="1">
      <alignment vertical="center"/>
    </xf>
    <xf numFmtId="0" fontId="37" fillId="5" borderId="0" xfId="3" applyFont="1" applyFill="1" applyAlignment="1">
      <alignment horizontal="left" vertical="center"/>
    </xf>
    <xf numFmtId="0" fontId="34" fillId="5" borderId="0" xfId="3" applyFont="1" applyFill="1" applyAlignment="1">
      <alignment horizontal="left" vertical="center" wrapText="1" indent="2"/>
    </xf>
    <xf numFmtId="0" fontId="29" fillId="5" borderId="0" xfId="3" applyFont="1" applyFill="1" applyAlignment="1">
      <alignment vertical="center"/>
    </xf>
    <xf numFmtId="0" fontId="34" fillId="5" borderId="0" xfId="3" applyFont="1" applyFill="1" applyAlignment="1">
      <alignment vertical="center" wrapText="1"/>
    </xf>
    <xf numFmtId="0" fontId="37" fillId="5" borderId="0" xfId="3" applyFont="1" applyFill="1" applyAlignment="1">
      <alignment vertical="center"/>
    </xf>
    <xf numFmtId="0" fontId="24" fillId="5" borderId="0" xfId="3" applyFont="1" applyFill="1" applyAlignment="1">
      <alignment vertical="center"/>
    </xf>
    <xf numFmtId="0" fontId="30" fillId="5" borderId="0" xfId="3" applyFont="1" applyFill="1" applyAlignment="1">
      <alignment vertical="center"/>
    </xf>
    <xf numFmtId="0" fontId="35" fillId="5" borderId="0" xfId="3" applyFont="1" applyFill="1" applyAlignment="1">
      <alignment vertical="center"/>
    </xf>
    <xf numFmtId="0" fontId="37" fillId="5" borderId="0" xfId="3" applyFont="1" applyFill="1" applyAlignment="1">
      <alignment horizontal="left" vertical="center" indent="2"/>
    </xf>
    <xf numFmtId="0" fontId="40" fillId="6" borderId="35" xfId="3" applyFont="1" applyFill="1" applyBorder="1" applyAlignment="1">
      <alignment horizontal="left" vertical="center"/>
    </xf>
    <xf numFmtId="0" fontId="39" fillId="5" borderId="0" xfId="4" applyFont="1" applyFill="1" applyBorder="1" applyAlignment="1"/>
    <xf numFmtId="0" fontId="41" fillId="5" borderId="24" xfId="3" applyFont="1" applyFill="1" applyBorder="1" applyAlignment="1">
      <alignment vertical="center" wrapText="1"/>
    </xf>
    <xf numFmtId="0" fontId="43" fillId="5" borderId="25" xfId="3" applyFont="1" applyFill="1" applyBorder="1" applyAlignment="1">
      <alignment vertical="center" wrapText="1"/>
    </xf>
    <xf numFmtId="0" fontId="44" fillId="5" borderId="26" xfId="3" applyFont="1" applyFill="1" applyBorder="1" applyAlignment="1">
      <alignment vertical="center" wrapText="1"/>
    </xf>
    <xf numFmtId="0" fontId="41" fillId="5" borderId="27" xfId="3" applyFont="1" applyFill="1" applyBorder="1" applyAlignment="1">
      <alignment vertical="center" wrapText="1"/>
    </xf>
    <xf numFmtId="0" fontId="43" fillId="5" borderId="1" xfId="3" applyFont="1" applyFill="1" applyBorder="1" applyAlignment="1">
      <alignment vertical="center" wrapText="1"/>
    </xf>
    <xf numFmtId="0" fontId="43" fillId="5" borderId="28" xfId="3" applyFont="1" applyFill="1" applyBorder="1" applyAlignment="1">
      <alignment vertical="center" wrapText="1"/>
    </xf>
    <xf numFmtId="0" fontId="43" fillId="5" borderId="31" xfId="3" applyFont="1" applyFill="1" applyBorder="1" applyAlignment="1">
      <alignment vertical="center" wrapText="1"/>
    </xf>
    <xf numFmtId="0" fontId="43" fillId="5" borderId="0" xfId="3" applyFont="1" applyFill="1" applyAlignment="1">
      <alignment vertical="center" wrapText="1"/>
    </xf>
    <xf numFmtId="0" fontId="43" fillId="5" borderId="32" xfId="3" applyFont="1" applyFill="1" applyBorder="1" applyAlignment="1">
      <alignment vertical="center" wrapText="1"/>
    </xf>
    <xf numFmtId="0" fontId="44" fillId="5" borderId="31" xfId="3" applyFont="1" applyFill="1" applyBorder="1" applyAlignment="1">
      <alignment vertical="center" wrapText="1"/>
    </xf>
    <xf numFmtId="0" fontId="44" fillId="5" borderId="29" xfId="3" applyFont="1" applyFill="1" applyBorder="1" applyAlignment="1">
      <alignment vertical="center" wrapText="1"/>
    </xf>
    <xf numFmtId="0" fontId="43" fillId="5" borderId="21" xfId="3" applyFont="1" applyFill="1" applyBorder="1" applyAlignment="1">
      <alignment vertical="center" wrapText="1"/>
    </xf>
    <xf numFmtId="0" fontId="43" fillId="5" borderId="30" xfId="3" applyFont="1" applyFill="1" applyBorder="1" applyAlignment="1">
      <alignment vertical="center" wrapText="1"/>
    </xf>
    <xf numFmtId="0" fontId="43" fillId="0" borderId="2" xfId="3" applyFont="1" applyBorder="1" applyAlignment="1">
      <alignment horizontal="left" vertical="center"/>
    </xf>
    <xf numFmtId="0" fontId="34" fillId="0" borderId="10" xfId="3" applyFont="1" applyBorder="1" applyAlignment="1">
      <alignment vertical="center"/>
    </xf>
    <xf numFmtId="0" fontId="43" fillId="0" borderId="11" xfId="3" applyFont="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9" xfId="3" applyFont="1" applyBorder="1" applyAlignment="1" applyProtection="1">
      <alignment vertical="center"/>
      <protection locked="0"/>
    </xf>
    <xf numFmtId="0" fontId="39" fillId="6" borderId="2" xfId="4" applyFont="1" applyFill="1" applyBorder="1" applyAlignment="1">
      <alignment vertical="center"/>
    </xf>
    <xf numFmtId="0" fontId="16" fillId="5" borderId="0" xfId="3" applyFont="1" applyFill="1" applyAlignment="1">
      <alignment vertical="center"/>
    </xf>
    <xf numFmtId="0" fontId="53" fillId="0" borderId="0" xfId="2" applyFont="1" applyFill="1"/>
    <xf numFmtId="0" fontId="28" fillId="0" borderId="24" xfId="2" applyFont="1" applyFill="1" applyBorder="1" applyAlignment="1">
      <alignment horizontal="left" vertical="center" wrapText="1"/>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166" fontId="34" fillId="0" borderId="26" xfId="6" applyNumberFormat="1" applyFont="1" applyFill="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6" fillId="0" borderId="25" xfId="2" applyFont="1" applyFill="1" applyBorder="1" applyAlignment="1">
      <alignment horizontal="left" vertical="center" wrapText="1"/>
    </xf>
    <xf numFmtId="0" fontId="36" fillId="6" borderId="26" xfId="4" applyFont="1" applyFill="1" applyBorder="1" applyAlignment="1">
      <alignment vertical="center"/>
    </xf>
    <xf numFmtId="0" fontId="56" fillId="0" borderId="0" xfId="3" applyFont="1" applyAlignment="1">
      <alignment horizontal="left" vertical="center"/>
    </xf>
    <xf numFmtId="0" fontId="57" fillId="0" borderId="0" xfId="3" applyFont="1" applyAlignment="1">
      <alignment vertical="center"/>
    </xf>
    <xf numFmtId="0" fontId="43" fillId="0" borderId="0" xfId="3" applyFont="1" applyAlignment="1">
      <alignment vertical="center"/>
    </xf>
    <xf numFmtId="164" fontId="43" fillId="0" borderId="0" xfId="1" applyFont="1" applyFill="1" applyAlignment="1">
      <alignment horizontal="left" vertical="center"/>
    </xf>
    <xf numFmtId="167" fontId="43" fillId="0" borderId="0" xfId="1" applyNumberFormat="1" applyFont="1" applyFill="1" applyAlignment="1">
      <alignment horizontal="left" vertical="center"/>
    </xf>
    <xf numFmtId="0" fontId="43" fillId="7" borderId="30" xfId="3" applyFont="1" applyFill="1" applyBorder="1" applyAlignment="1">
      <alignment vertical="center"/>
    </xf>
    <xf numFmtId="0" fontId="26" fillId="5" borderId="0" xfId="0" applyFont="1" applyFill="1" applyAlignment="1">
      <alignment vertical="center"/>
    </xf>
    <xf numFmtId="0" fontId="56" fillId="0" borderId="33" xfId="0" applyFont="1" applyBorder="1"/>
    <xf numFmtId="0" fontId="56" fillId="0" borderId="16" xfId="0" applyFont="1" applyBorder="1"/>
    <xf numFmtId="164" fontId="56" fillId="0" borderId="34" xfId="1" applyFont="1" applyBorder="1"/>
    <xf numFmtId="0" fontId="60" fillId="0" borderId="0" xfId="5" applyFont="1"/>
    <xf numFmtId="0" fontId="60" fillId="0" borderId="0" xfId="5" applyNumberFormat="1" applyFont="1"/>
    <xf numFmtId="0" fontId="43" fillId="5" borderId="0" xfId="3" applyFont="1" applyFill="1" applyAlignment="1">
      <alignment horizontal="left" vertical="center" indent="1"/>
    </xf>
    <xf numFmtId="0" fontId="43" fillId="5" borderId="0" xfId="3" applyFont="1" applyFill="1" applyAlignment="1">
      <alignment horizontal="left" vertical="center"/>
    </xf>
    <xf numFmtId="164" fontId="43" fillId="5" borderId="0" xfId="1" applyFont="1" applyFill="1" applyBorder="1" applyAlignment="1">
      <alignment horizontal="left" vertical="center"/>
    </xf>
    <xf numFmtId="0" fontId="56" fillId="5" borderId="1" xfId="3" applyFont="1" applyFill="1" applyBorder="1" applyAlignment="1">
      <alignment horizontal="left" vertical="center"/>
    </xf>
    <xf numFmtId="164" fontId="56" fillId="5" borderId="1" xfId="1" applyFont="1" applyFill="1" applyBorder="1" applyAlignment="1">
      <alignment horizontal="left" vertical="center"/>
    </xf>
    <xf numFmtId="0" fontId="43" fillId="5" borderId="1" xfId="3" applyFont="1" applyFill="1" applyBorder="1" applyAlignment="1">
      <alignment horizontal="left" vertical="center"/>
    </xf>
    <xf numFmtId="164" fontId="43" fillId="5" borderId="1" xfId="1" applyFont="1" applyFill="1" applyBorder="1" applyAlignment="1">
      <alignment horizontal="left" vertical="center"/>
    </xf>
    <xf numFmtId="0" fontId="43" fillId="5" borderId="1" xfId="0" applyFont="1" applyFill="1" applyBorder="1"/>
    <xf numFmtId="0" fontId="43" fillId="5" borderId="20" xfId="3" applyFont="1" applyFill="1" applyBorder="1" applyAlignment="1">
      <alignment horizontal="left" vertical="center"/>
    </xf>
    <xf numFmtId="164" fontId="43" fillId="5" borderId="20" xfId="1" applyFont="1" applyFill="1" applyBorder="1" applyAlignment="1">
      <alignment horizontal="left" vertical="center"/>
    </xf>
    <xf numFmtId="0" fontId="44" fillId="0" borderId="0" xfId="3" applyFont="1" applyAlignment="1">
      <alignment horizontal="left" vertical="center"/>
    </xf>
    <xf numFmtId="0" fontId="56" fillId="5" borderId="0" xfId="0" applyFont="1" applyFill="1" applyAlignment="1">
      <alignment vertical="center"/>
    </xf>
    <xf numFmtId="0" fontId="5" fillId="0" borderId="14" xfId="0" applyFont="1" applyBorder="1"/>
    <xf numFmtId="0" fontId="5" fillId="0" borderId="15" xfId="0" applyFont="1" applyBorder="1"/>
    <xf numFmtId="0" fontId="36" fillId="0" borderId="24" xfId="2" applyFont="1" applyFill="1" applyBorder="1" applyAlignment="1">
      <alignment horizontal="left" vertical="center" wrapText="1" indent="2"/>
    </xf>
    <xf numFmtId="0" fontId="28" fillId="0" borderId="9" xfId="2" applyFont="1" applyFill="1" applyBorder="1" applyAlignment="1" applyProtection="1">
      <alignment horizontal="left" vertical="center" wrapText="1"/>
      <protection locked="0"/>
    </xf>
    <xf numFmtId="0" fontId="53" fillId="6" borderId="2" xfId="4" applyFont="1" applyFill="1" applyBorder="1" applyAlignment="1">
      <alignment vertical="center" wrapText="1"/>
    </xf>
    <xf numFmtId="0" fontId="28" fillId="0" borderId="37" xfId="2" applyFont="1" applyFill="1" applyBorder="1" applyAlignment="1" applyProtection="1">
      <alignment vertical="center"/>
      <protection locked="0"/>
    </xf>
    <xf numFmtId="0" fontId="2" fillId="0" borderId="0" xfId="3" applyFont="1" applyAlignment="1">
      <alignment horizontal="left" vertical="center"/>
    </xf>
    <xf numFmtId="0" fontId="71" fillId="0" borderId="25" xfId="2" applyFont="1" applyFill="1" applyBorder="1" applyAlignment="1">
      <alignment horizontal="left" vertical="center" wrapText="1"/>
    </xf>
    <xf numFmtId="0" fontId="30" fillId="3" borderId="35" xfId="3" applyFont="1" applyFill="1" applyBorder="1" applyAlignment="1">
      <alignment horizontal="left" vertical="center" wrapText="1"/>
    </xf>
    <xf numFmtId="0" fontId="72" fillId="0" borderId="33" xfId="0" applyFont="1" applyBorder="1"/>
    <xf numFmtId="0" fontId="56" fillId="0" borderId="0" xfId="0" applyFont="1"/>
    <xf numFmtId="164" fontId="56" fillId="0" borderId="0" xfId="1" applyFont="1" applyBorder="1"/>
    <xf numFmtId="167" fontId="22" fillId="0" borderId="0" xfId="0" applyNumberFormat="1" applyFont="1"/>
    <xf numFmtId="43" fontId="22" fillId="0" borderId="0" xfId="0" applyNumberFormat="1" applyFont="1"/>
    <xf numFmtId="0" fontId="0" fillId="0" borderId="0" xfId="0" applyAlignment="1">
      <alignment horizontal="left"/>
    </xf>
    <xf numFmtId="0" fontId="41" fillId="0" borderId="0" xfId="3" applyFont="1" applyAlignment="1">
      <alignment horizontal="left" vertical="center"/>
    </xf>
    <xf numFmtId="0" fontId="2" fillId="0" borderId="0" xfId="0" applyFont="1"/>
    <xf numFmtId="0" fontId="73" fillId="0" borderId="31" xfId="0" applyFont="1" applyBorder="1" applyAlignment="1">
      <alignment vertical="center" wrapText="1"/>
    </xf>
    <xf numFmtId="0" fontId="41" fillId="0" borderId="46" xfId="3" applyFont="1" applyBorder="1" applyAlignment="1">
      <alignment horizontal="left" vertical="center"/>
    </xf>
    <xf numFmtId="0" fontId="41" fillId="5" borderId="46" xfId="3" applyFont="1" applyFill="1" applyBorder="1" applyAlignment="1">
      <alignment horizontal="left" vertical="center"/>
    </xf>
    <xf numFmtId="0" fontId="56" fillId="0" borderId="46" xfId="3" applyFont="1" applyBorder="1" applyAlignment="1">
      <alignment horizontal="left" vertical="center"/>
    </xf>
    <xf numFmtId="0" fontId="56" fillId="5" borderId="46" xfId="3" applyFont="1" applyFill="1" applyBorder="1" applyAlignment="1">
      <alignment horizontal="left" vertical="center"/>
    </xf>
    <xf numFmtId="164" fontId="2" fillId="0" borderId="0" xfId="1" applyFont="1" applyFill="1" applyAlignment="1">
      <alignment horizontal="right"/>
    </xf>
    <xf numFmtId="167" fontId="2" fillId="0" borderId="0" xfId="1" applyNumberFormat="1" applyFont="1" applyFill="1"/>
    <xf numFmtId="0" fontId="13" fillId="0" borderId="0" xfId="7" applyFont="1" applyAlignment="1">
      <alignment horizontal="left" vertical="center"/>
    </xf>
    <xf numFmtId="0" fontId="62" fillId="0" borderId="0" xfId="7" applyFont="1" applyAlignment="1">
      <alignment horizontal="left" vertical="center"/>
    </xf>
    <xf numFmtId="0" fontId="2" fillId="0" borderId="0" xfId="7" applyFont="1" applyAlignment="1">
      <alignment horizontal="left" vertical="center"/>
    </xf>
    <xf numFmtId="0" fontId="40" fillId="0" borderId="0" xfId="7" applyFont="1" applyAlignment="1">
      <alignment horizontal="left" vertical="center"/>
    </xf>
    <xf numFmtId="0" fontId="40" fillId="6" borderId="35" xfId="7" applyFont="1" applyFill="1" applyBorder="1" applyAlignment="1">
      <alignment horizontal="left" vertical="center"/>
    </xf>
    <xf numFmtId="0" fontId="2" fillId="4" borderId="0" xfId="7" applyFont="1" applyFill="1" applyAlignment="1">
      <alignment horizontal="left" vertical="center"/>
    </xf>
    <xf numFmtId="0" fontId="30" fillId="3" borderId="35" xfId="7" applyFont="1" applyFill="1" applyBorder="1" applyAlignment="1">
      <alignment horizontal="left" vertical="center"/>
    </xf>
    <xf numFmtId="0" fontId="30" fillId="0" borderId="35" xfId="7" applyFont="1" applyBorder="1" applyAlignment="1">
      <alignment horizontal="left" vertical="center"/>
    </xf>
    <xf numFmtId="0" fontId="62" fillId="0" borderId="0" xfId="7" quotePrefix="1" applyFont="1" applyAlignment="1">
      <alignment horizontal="left" vertical="center"/>
    </xf>
    <xf numFmtId="0" fontId="16" fillId="0" borderId="0" xfId="7" applyFont="1" applyAlignment="1" applyProtection="1">
      <alignment vertical="center"/>
      <protection locked="0"/>
    </xf>
    <xf numFmtId="0" fontId="62" fillId="0" borderId="0" xfId="7" applyFont="1" applyAlignment="1">
      <alignment vertical="center"/>
    </xf>
    <xf numFmtId="0" fontId="19" fillId="0" borderId="0" xfId="7" applyFont="1" applyAlignment="1">
      <alignment horizontal="left" vertical="center"/>
    </xf>
    <xf numFmtId="0" fontId="68" fillId="0" borderId="2" xfId="7" applyFont="1" applyBorder="1" applyAlignment="1" applyProtection="1">
      <alignment horizontal="left" vertical="center"/>
      <protection locked="0"/>
    </xf>
    <xf numFmtId="0" fontId="69" fillId="0" borderId="2" xfId="7" applyFont="1" applyBorder="1" applyAlignment="1">
      <alignment horizontal="left" vertical="center"/>
    </xf>
    <xf numFmtId="0" fontId="68" fillId="0" borderId="2" xfId="7" applyFont="1" applyBorder="1" applyAlignment="1">
      <alignment horizontal="left" vertical="center"/>
    </xf>
    <xf numFmtId="0" fontId="70" fillId="0" borderId="2" xfId="7" applyFont="1" applyBorder="1" applyAlignment="1">
      <alignment horizontal="left" vertical="center"/>
    </xf>
    <xf numFmtId="0" fontId="17" fillId="0" borderId="4" xfId="7" applyFont="1" applyBorder="1" applyAlignment="1">
      <alignment vertical="center"/>
    </xf>
    <xf numFmtId="0" fontId="35" fillId="0" borderId="9" xfId="7" applyFont="1" applyBorder="1" applyAlignment="1" applyProtection="1">
      <alignment vertical="center"/>
      <protection locked="0"/>
    </xf>
    <xf numFmtId="0" fontId="2" fillId="0" borderId="2" xfId="7" applyFont="1" applyBorder="1" applyAlignment="1">
      <alignment horizontal="left" vertical="center"/>
    </xf>
    <xf numFmtId="0" fontId="34" fillId="0" borderId="2" xfId="7" applyFont="1" applyBorder="1" applyAlignment="1">
      <alignment horizontal="left" vertical="center"/>
    </xf>
    <xf numFmtId="0" fontId="18" fillId="0" borderId="0" xfId="7" applyFont="1" applyAlignment="1">
      <alignment horizontal="left" vertical="center"/>
    </xf>
    <xf numFmtId="0" fontId="34" fillId="0" borderId="4" xfId="7" applyFont="1" applyBorder="1" applyAlignment="1" applyProtection="1">
      <alignment horizontal="left" vertical="center" indent="2"/>
      <protection locked="0"/>
    </xf>
    <xf numFmtId="0" fontId="43" fillId="0" borderId="0" xfId="7" applyFont="1" applyAlignment="1">
      <alignment horizontal="left" vertical="center"/>
    </xf>
    <xf numFmtId="0" fontId="34" fillId="6" borderId="5" xfId="7" applyFont="1" applyFill="1" applyBorder="1" applyAlignment="1">
      <alignment vertical="center"/>
    </xf>
    <xf numFmtId="0" fontId="43" fillId="3" borderId="6" xfId="7" applyFont="1" applyFill="1" applyBorder="1" applyAlignment="1">
      <alignment horizontal="left" vertical="center"/>
    </xf>
    <xf numFmtId="0" fontId="34" fillId="0" borderId="5" xfId="7" applyFont="1" applyBorder="1" applyAlignment="1">
      <alignment vertical="center"/>
    </xf>
    <xf numFmtId="0" fontId="34" fillId="0" borderId="9" xfId="7" applyFont="1" applyBorder="1" applyAlignment="1" applyProtection="1">
      <alignment horizontal="left" vertical="center" indent="2"/>
      <protection locked="0"/>
    </xf>
    <xf numFmtId="0" fontId="43" fillId="0" borderId="2" xfId="7" applyFont="1" applyBorder="1" applyAlignment="1">
      <alignment horizontal="left" vertical="center"/>
    </xf>
    <xf numFmtId="0" fontId="34" fillId="0" borderId="10" xfId="7" applyFont="1" applyBorder="1" applyAlignment="1">
      <alignment vertical="center"/>
    </xf>
    <xf numFmtId="0" fontId="43" fillId="3" borderId="11" xfId="7" applyFont="1" applyFill="1" applyBorder="1" applyAlignment="1">
      <alignment horizontal="left" vertical="center"/>
    </xf>
    <xf numFmtId="165" fontId="34" fillId="6" borderId="5" xfId="7" applyNumberFormat="1" applyFont="1" applyFill="1" applyBorder="1" applyAlignment="1">
      <alignment vertical="center"/>
    </xf>
    <xf numFmtId="0" fontId="2" fillId="2" borderId="16" xfId="7" applyFont="1" applyFill="1" applyBorder="1" applyAlignment="1">
      <alignment horizontal="left" vertical="center"/>
    </xf>
    <xf numFmtId="0" fontId="34" fillId="0" borderId="4" xfId="7" applyFont="1" applyBorder="1" applyAlignment="1" applyProtection="1">
      <alignment horizontal="left" vertical="center" wrapText="1" indent="2"/>
      <protection locked="0"/>
    </xf>
    <xf numFmtId="0" fontId="34" fillId="6" borderId="0" xfId="7" applyFont="1" applyFill="1" applyAlignment="1">
      <alignment vertical="center"/>
    </xf>
    <xf numFmtId="165" fontId="34" fillId="6" borderId="0" xfId="7" applyNumberFormat="1" applyFont="1" applyFill="1" applyAlignment="1">
      <alignment vertical="center"/>
    </xf>
    <xf numFmtId="0" fontId="7" fillId="6" borderId="21" xfId="2" applyFill="1" applyBorder="1" applyAlignment="1">
      <alignment vertical="center" wrapText="1"/>
    </xf>
    <xf numFmtId="0" fontId="34" fillId="0" borderId="12" xfId="7" applyFont="1" applyBorder="1" applyAlignment="1" applyProtection="1">
      <alignment horizontal="left" vertical="center" wrapText="1" indent="2"/>
      <protection locked="0"/>
    </xf>
    <xf numFmtId="0" fontId="43" fillId="0" borderId="1" xfId="7" applyFont="1" applyBorder="1" applyAlignment="1">
      <alignment horizontal="left" vertical="center"/>
    </xf>
    <xf numFmtId="0" fontId="43" fillId="3" borderId="1" xfId="7" applyFont="1" applyFill="1" applyBorder="1" applyAlignment="1">
      <alignment horizontal="left" vertical="center"/>
    </xf>
    <xf numFmtId="0" fontId="43" fillId="3" borderId="0" xfId="7" applyFont="1" applyFill="1" applyAlignment="1">
      <alignment horizontal="left" vertical="center"/>
    </xf>
    <xf numFmtId="0" fontId="55" fillId="6" borderId="21" xfId="7" applyFont="1" applyFill="1" applyBorder="1" applyAlignment="1">
      <alignment vertical="center"/>
    </xf>
    <xf numFmtId="0" fontId="43" fillId="0" borderId="12" xfId="7" applyFont="1" applyBorder="1" applyAlignment="1">
      <alignment horizontal="left" vertical="center"/>
    </xf>
    <xf numFmtId="0" fontId="43" fillId="3" borderId="13" xfId="7" applyFont="1" applyFill="1" applyBorder="1" applyAlignment="1">
      <alignment horizontal="left" vertical="center"/>
    </xf>
    <xf numFmtId="0" fontId="43" fillId="0" borderId="11" xfId="7" applyFont="1" applyBorder="1" applyAlignment="1">
      <alignment horizontal="left" vertical="center"/>
    </xf>
    <xf numFmtId="0" fontId="47" fillId="3" borderId="2" xfId="7" applyFont="1" applyFill="1" applyBorder="1" applyAlignment="1">
      <alignment vertical="center"/>
    </xf>
    <xf numFmtId="0" fontId="2" fillId="0" borderId="23" xfId="7" applyFont="1" applyBorder="1" applyAlignment="1">
      <alignment horizontal="left" vertical="center"/>
    </xf>
    <xf numFmtId="0" fontId="34" fillId="0" borderId="0" xfId="7" applyFont="1" applyAlignment="1">
      <alignment vertical="center"/>
    </xf>
    <xf numFmtId="0" fontId="2" fillId="0" borderId="16" xfId="7" applyFont="1" applyBorder="1" applyAlignment="1">
      <alignment horizontal="left" vertical="center"/>
    </xf>
    <xf numFmtId="0" fontId="47" fillId="0" borderId="0" xfId="7" applyFont="1" applyAlignment="1">
      <alignment vertical="center"/>
    </xf>
    <xf numFmtId="0" fontId="17" fillId="0" borderId="0" xfId="7" applyFont="1" applyAlignment="1">
      <alignment vertical="center"/>
    </xf>
    <xf numFmtId="0" fontId="34" fillId="0" borderId="0" xfId="7" applyFont="1" applyAlignment="1">
      <alignment horizontal="left" vertical="center" indent="1"/>
    </xf>
    <xf numFmtId="0" fontId="34" fillId="6" borderId="36" xfId="7" applyFont="1" applyFill="1" applyBorder="1" applyAlignment="1">
      <alignment vertical="center" wrapText="1"/>
    </xf>
    <xf numFmtId="0" fontId="47" fillId="3" borderId="36" xfId="7" applyFont="1" applyFill="1" applyBorder="1" applyAlignment="1">
      <alignment vertical="center"/>
    </xf>
    <xf numFmtId="0" fontId="34" fillId="0" borderId="2" xfId="7" applyFont="1" applyBorder="1" applyAlignment="1">
      <alignment horizontal="left" vertical="center" indent="1"/>
    </xf>
    <xf numFmtId="0" fontId="47" fillId="3" borderId="0" xfId="7" applyFont="1" applyFill="1" applyAlignment="1">
      <alignment vertical="center"/>
    </xf>
    <xf numFmtId="0" fontId="24" fillId="0" borderId="4" xfId="7" applyFont="1" applyBorder="1" applyAlignment="1" applyProtection="1">
      <alignment horizontal="left" vertical="center" indent="2"/>
      <protection locked="0"/>
    </xf>
    <xf numFmtId="0" fontId="34" fillId="0" borderId="4" xfId="7" applyFont="1" applyBorder="1" applyAlignment="1" applyProtection="1">
      <alignment horizontal="left" vertical="center" indent="4"/>
      <protection locked="0"/>
    </xf>
    <xf numFmtId="0" fontId="34" fillId="0" borderId="4" xfId="7" applyFont="1" applyBorder="1" applyAlignment="1" applyProtection="1">
      <alignment horizontal="left" vertical="center" indent="6"/>
      <protection locked="0"/>
    </xf>
    <xf numFmtId="0" fontId="43" fillId="0" borderId="39" xfId="7" applyFont="1" applyBorder="1" applyAlignment="1">
      <alignment horizontal="left" vertical="center"/>
    </xf>
    <xf numFmtId="0" fontId="43" fillId="3" borderId="21" xfId="7" applyFont="1" applyFill="1" applyBorder="1" applyAlignment="1">
      <alignment horizontal="left" vertical="center"/>
    </xf>
    <xf numFmtId="0" fontId="34" fillId="6" borderId="1" xfId="7" applyFont="1" applyFill="1" applyBorder="1" applyAlignment="1">
      <alignment vertical="center"/>
    </xf>
    <xf numFmtId="0" fontId="34" fillId="0" borderId="0" xfId="7" applyFont="1" applyAlignment="1" applyProtection="1">
      <alignment horizontal="left" vertical="center" indent="4"/>
      <protection locked="0"/>
    </xf>
    <xf numFmtId="164" fontId="34" fillId="6" borderId="0" xfId="1" applyFont="1" applyFill="1" applyBorder="1" applyAlignment="1">
      <alignment vertical="center"/>
    </xf>
    <xf numFmtId="0" fontId="34" fillId="0" borderId="2" xfId="7" applyFont="1" applyBorder="1" applyAlignment="1" applyProtection="1">
      <alignment horizontal="left" vertical="center" indent="4"/>
      <protection locked="0"/>
    </xf>
    <xf numFmtId="0" fontId="43" fillId="3" borderId="2" xfId="7" applyFont="1" applyFill="1" applyBorder="1" applyAlignment="1">
      <alignment horizontal="left" vertical="center"/>
    </xf>
    <xf numFmtId="0" fontId="34" fillId="0" borderId="2" xfId="7" applyFont="1" applyBorder="1" applyAlignment="1">
      <alignment vertical="center"/>
    </xf>
    <xf numFmtId="0" fontId="34" fillId="0" borderId="9" xfId="7" applyFont="1" applyBorder="1" applyAlignment="1" applyProtection="1">
      <alignment horizontal="left" vertical="center" indent="4"/>
      <protection locked="0"/>
    </xf>
    <xf numFmtId="0" fontId="34" fillId="6" borderId="2" xfId="7" applyFont="1" applyFill="1" applyBorder="1" applyAlignment="1">
      <alignment vertical="center"/>
    </xf>
    <xf numFmtId="0" fontId="35" fillId="0" borderId="2" xfId="7" applyFont="1" applyBorder="1" applyAlignment="1" applyProtection="1">
      <alignment vertical="center"/>
      <protection locked="0"/>
    </xf>
    <xf numFmtId="0" fontId="41" fillId="0" borderId="2" xfId="7" applyFont="1" applyBorder="1" applyAlignment="1">
      <alignment horizontal="left" vertical="center"/>
    </xf>
    <xf numFmtId="10" fontId="49" fillId="0" borderId="2" xfId="7" applyNumberFormat="1" applyFont="1" applyBorder="1" applyAlignment="1">
      <alignment vertical="center"/>
    </xf>
    <xf numFmtId="10" fontId="34" fillId="0" borderId="5" xfId="7" applyNumberFormat="1" applyFont="1" applyBorder="1" applyAlignment="1">
      <alignment horizontal="left" vertical="center"/>
    </xf>
    <xf numFmtId="0" fontId="43" fillId="0" borderId="6" xfId="7" applyFont="1" applyBorder="1" applyAlignment="1">
      <alignment horizontal="left" vertical="center"/>
    </xf>
    <xf numFmtId="0" fontId="35" fillId="0" borderId="23" xfId="7" applyFont="1" applyBorder="1" applyAlignment="1" applyProtection="1">
      <alignment vertical="center"/>
      <protection locked="0"/>
    </xf>
    <xf numFmtId="0" fontId="41" fillId="0" borderId="16" xfId="7" applyFont="1" applyBorder="1" applyAlignment="1">
      <alignment horizontal="left" vertical="center"/>
    </xf>
    <xf numFmtId="0" fontId="49" fillId="0" borderId="16" xfId="7" applyFont="1" applyBorder="1" applyAlignment="1">
      <alignment vertical="center"/>
    </xf>
    <xf numFmtId="0" fontId="7" fillId="6" borderId="5" xfId="2" applyFill="1" applyBorder="1" applyAlignment="1">
      <alignment vertical="center"/>
    </xf>
    <xf numFmtId="0" fontId="34" fillId="0" borderId="9" xfId="7" applyFont="1" applyBorder="1" applyAlignment="1" applyProtection="1">
      <alignment vertical="center"/>
      <protection locked="0"/>
    </xf>
    <xf numFmtId="0" fontId="14" fillId="0" borderId="0" xfId="7" applyFont="1" applyAlignment="1">
      <alignment vertical="center"/>
    </xf>
    <xf numFmtId="0" fontId="15" fillId="0" borderId="0" xfId="7" applyFont="1" applyAlignment="1">
      <alignment vertical="center"/>
    </xf>
    <xf numFmtId="0" fontId="24" fillId="5" borderId="0" xfId="7" applyFont="1" applyFill="1" applyAlignment="1">
      <alignment vertical="center"/>
    </xf>
    <xf numFmtId="0" fontId="16" fillId="0" borderId="0" xfId="7" applyFont="1" applyAlignment="1">
      <alignment vertical="center"/>
    </xf>
    <xf numFmtId="0" fontId="34" fillId="0" borderId="0" xfId="7" applyFont="1" applyAlignment="1">
      <alignment horizontal="left" vertical="center"/>
    </xf>
    <xf numFmtId="0" fontId="24" fillId="0" borderId="0" xfId="7" applyFont="1" applyAlignment="1">
      <alignment horizontal="left" vertical="center"/>
    </xf>
    <xf numFmtId="0" fontId="69" fillId="0" borderId="0" xfId="7" applyFont="1" applyAlignment="1">
      <alignment horizontal="left" vertical="center"/>
    </xf>
    <xf numFmtId="0" fontId="68" fillId="0" borderId="0" xfId="7" applyFont="1" applyAlignment="1">
      <alignment horizontal="left" vertical="center"/>
    </xf>
    <xf numFmtId="0" fontId="70" fillId="0" borderId="0" xfId="7" applyFont="1" applyAlignment="1">
      <alignment horizontal="left" vertical="center"/>
    </xf>
    <xf numFmtId="0" fontId="34" fillId="0" borderId="24" xfId="7" applyFont="1" applyBorder="1" applyAlignment="1">
      <alignment vertical="center" wrapText="1"/>
    </xf>
    <xf numFmtId="0" fontId="2" fillId="3" borderId="24" xfId="7" applyFont="1" applyFill="1" applyBorder="1" applyAlignment="1">
      <alignment horizontal="left" vertical="center"/>
    </xf>
    <xf numFmtId="0" fontId="34" fillId="0" borderId="25" xfId="7" applyFont="1" applyBorder="1" applyAlignment="1">
      <alignment horizontal="left" vertical="center" indent="1"/>
    </xf>
    <xf numFmtId="0" fontId="34" fillId="0" borderId="25" xfId="7" applyFont="1" applyBorder="1" applyAlignment="1">
      <alignment vertical="center" wrapText="1"/>
    </xf>
    <xf numFmtId="0" fontId="2" fillId="3" borderId="25" xfId="7" applyFont="1" applyFill="1" applyBorder="1" applyAlignment="1">
      <alignment horizontal="left" vertical="center"/>
    </xf>
    <xf numFmtId="0" fontId="34" fillId="0" borderId="25" xfId="7" applyFont="1" applyBorder="1" applyAlignment="1">
      <alignment horizontal="left" vertical="center" indent="3"/>
    </xf>
    <xf numFmtId="0" fontId="34" fillId="6" borderId="25" xfId="7" applyFont="1" applyFill="1" applyBorder="1" applyAlignment="1">
      <alignment vertical="center" wrapText="1"/>
    </xf>
    <xf numFmtId="0" fontId="2" fillId="3" borderId="25" xfId="7" applyFont="1" applyFill="1" applyBorder="1" applyAlignment="1">
      <alignment horizontal="left" vertical="center" wrapText="1"/>
    </xf>
    <xf numFmtId="0" fontId="34" fillId="0" borderId="26" xfId="7" applyFont="1" applyBorder="1" applyAlignment="1">
      <alignment horizontal="left" vertical="center" indent="3"/>
    </xf>
    <xf numFmtId="0" fontId="34" fillId="6" borderId="26" xfId="7" applyFont="1" applyFill="1" applyBorder="1" applyAlignment="1">
      <alignment vertical="center" wrapText="1"/>
    </xf>
    <xf numFmtId="0" fontId="2" fillId="3" borderId="26" xfId="7" applyFont="1" applyFill="1" applyBorder="1" applyAlignment="1">
      <alignment horizontal="left" vertical="center"/>
    </xf>
    <xf numFmtId="0" fontId="2" fillId="0" borderId="32" xfId="7" applyFont="1" applyBorder="1" applyAlignment="1">
      <alignment horizontal="left" vertical="center"/>
    </xf>
    <xf numFmtId="0" fontId="34" fillId="0" borderId="0" xfId="7" applyFont="1" applyAlignment="1">
      <alignment horizontal="left" vertical="center" indent="5"/>
    </xf>
    <xf numFmtId="0" fontId="2" fillId="0" borderId="25" xfId="7" applyFont="1" applyBorder="1" applyAlignment="1">
      <alignment horizontal="left" vertical="center"/>
    </xf>
    <xf numFmtId="0" fontId="34" fillId="9" borderId="25" xfId="0" applyFont="1" applyFill="1" applyBorder="1" applyAlignment="1">
      <alignment vertical="center" wrapText="1"/>
    </xf>
    <xf numFmtId="0" fontId="34" fillId="0" borderId="31" xfId="7" applyFont="1" applyBorder="1" applyAlignment="1">
      <alignment horizontal="left" vertical="center" indent="5"/>
    </xf>
    <xf numFmtId="0" fontId="34" fillId="0" borderId="31" xfId="7" applyFont="1" applyBorder="1" applyAlignment="1">
      <alignment horizontal="left" vertical="center" indent="1"/>
    </xf>
    <xf numFmtId="0" fontId="34" fillId="0" borderId="38" xfId="7" applyFont="1" applyBorder="1" applyAlignment="1">
      <alignment horizontal="left" vertical="center"/>
    </xf>
    <xf numFmtId="0" fontId="2" fillId="0" borderId="38" xfId="7" applyFont="1" applyBorder="1" applyAlignment="1">
      <alignment horizontal="left" vertical="center"/>
    </xf>
    <xf numFmtId="0" fontId="37" fillId="0" borderId="24" xfId="7" applyFont="1" applyBorder="1" applyAlignment="1">
      <alignment vertical="center"/>
    </xf>
    <xf numFmtId="0" fontId="34" fillId="0" borderId="26" xfId="7" applyFont="1" applyBorder="1" applyAlignment="1">
      <alignment horizontal="left" vertical="center" indent="1"/>
    </xf>
    <xf numFmtId="0" fontId="2" fillId="0" borderId="24" xfId="7" applyFont="1" applyBorder="1" applyAlignment="1">
      <alignment vertical="center"/>
    </xf>
    <xf numFmtId="0" fontId="34" fillId="0" borderId="25" xfId="7" applyFont="1" applyBorder="1" applyAlignment="1">
      <alignment horizontal="left" vertical="center" wrapText="1" indent="1"/>
    </xf>
    <xf numFmtId="0" fontId="34" fillId="0" borderId="25" xfId="7" applyFont="1" applyBorder="1" applyAlignment="1">
      <alignment horizontal="left" vertical="center" wrapText="1" indent="3"/>
    </xf>
    <xf numFmtId="0" fontId="34" fillId="0" borderId="26" xfId="7" applyFont="1" applyBorder="1" applyAlignment="1">
      <alignment horizontal="left" vertical="center" wrapText="1" indent="3"/>
    </xf>
    <xf numFmtId="0" fontId="34" fillId="0" borderId="26" xfId="7" applyFont="1" applyBorder="1" applyAlignment="1">
      <alignment horizontal="left" vertical="center" wrapText="1" indent="1"/>
    </xf>
    <xf numFmtId="0" fontId="2" fillId="0" borderId="25" xfId="7" applyFont="1" applyBorder="1" applyAlignment="1">
      <alignment vertical="center"/>
    </xf>
    <xf numFmtId="0" fontId="34" fillId="6" borderId="25" xfId="7" applyFont="1" applyFill="1" applyBorder="1" applyAlignment="1">
      <alignment horizontal="left" vertical="center" wrapText="1" indent="3"/>
    </xf>
    <xf numFmtId="4" fontId="34" fillId="6" borderId="25" xfId="7" applyNumberFormat="1" applyFont="1" applyFill="1" applyBorder="1" applyAlignment="1">
      <alignment vertical="center" wrapText="1"/>
    </xf>
    <xf numFmtId="0" fontId="24" fillId="10" borderId="25" xfId="0" applyFont="1" applyFill="1" applyBorder="1" applyAlignment="1">
      <alignment horizontal="left" vertical="center"/>
    </xf>
    <xf numFmtId="4" fontId="2" fillId="3" borderId="25" xfId="7" applyNumberFormat="1" applyFont="1" applyFill="1" applyBorder="1" applyAlignment="1">
      <alignment horizontal="left" vertical="center"/>
    </xf>
    <xf numFmtId="3" fontId="34" fillId="6" borderId="25" xfId="7" applyNumberFormat="1" applyFont="1" applyFill="1" applyBorder="1" applyAlignment="1">
      <alignment vertical="center" wrapText="1"/>
    </xf>
    <xf numFmtId="3" fontId="34" fillId="9" borderId="25" xfId="7" applyNumberFormat="1" applyFont="1" applyFill="1" applyBorder="1" applyAlignment="1">
      <alignment vertical="center" wrapText="1"/>
    </xf>
    <xf numFmtId="0" fontId="24" fillId="0" borderId="24" xfId="7" applyFont="1" applyBorder="1" applyAlignment="1">
      <alignment vertical="center"/>
    </xf>
    <xf numFmtId="0" fontId="34" fillId="0" borderId="26" xfId="7" applyFont="1" applyBorder="1" applyAlignment="1">
      <alignment vertical="center" wrapText="1"/>
    </xf>
    <xf numFmtId="0" fontId="2" fillId="0" borderId="1" xfId="7" applyFont="1" applyBorder="1" applyAlignment="1">
      <alignment horizontal="left" vertical="center"/>
    </xf>
    <xf numFmtId="0" fontId="34" fillId="6" borderId="26" xfId="7" applyFont="1" applyFill="1" applyBorder="1" applyAlignment="1">
      <alignment horizontal="left" vertical="center" wrapText="1" indent="3"/>
    </xf>
    <xf numFmtId="0" fontId="2" fillId="0" borderId="21" xfId="7" applyFont="1" applyBorder="1" applyAlignment="1">
      <alignment horizontal="left" vertical="center"/>
    </xf>
    <xf numFmtId="0" fontId="24" fillId="0" borderId="0" xfId="7" applyFont="1" applyAlignment="1">
      <alignment vertical="center"/>
    </xf>
    <xf numFmtId="3" fontId="34" fillId="6" borderId="26" xfId="7" applyNumberFormat="1" applyFont="1" applyFill="1" applyBorder="1" applyAlignment="1">
      <alignment vertical="center" wrapText="1"/>
    </xf>
    <xf numFmtId="2" fontId="34" fillId="0" borderId="26" xfId="7" applyNumberFormat="1" applyFont="1" applyBorder="1" applyAlignment="1">
      <alignment vertical="center"/>
    </xf>
    <xf numFmtId="0" fontId="24" fillId="6" borderId="26" xfId="7" applyFont="1" applyFill="1" applyBorder="1" applyAlignment="1">
      <alignment vertical="center"/>
    </xf>
    <xf numFmtId="0" fontId="24" fillId="6" borderId="25" xfId="7" applyFont="1" applyFill="1" applyBorder="1" applyAlignment="1">
      <alignment vertical="center"/>
    </xf>
    <xf numFmtId="0" fontId="34" fillId="4" borderId="24" xfId="7" applyFont="1" applyFill="1" applyBorder="1" applyAlignment="1">
      <alignment vertical="center" wrapText="1"/>
    </xf>
    <xf numFmtId="0" fontId="24" fillId="4" borderId="24" xfId="7" applyFont="1" applyFill="1" applyBorder="1" applyAlignment="1">
      <alignment vertical="center"/>
    </xf>
    <xf numFmtId="0" fontId="34" fillId="0" borderId="0" xfId="7" applyFont="1" applyAlignment="1">
      <alignment vertical="center" wrapText="1"/>
    </xf>
    <xf numFmtId="0" fontId="34" fillId="0" borderId="0" xfId="7" applyFont="1" applyAlignment="1">
      <alignment horizontal="left" vertical="center" wrapText="1" indent="3"/>
    </xf>
    <xf numFmtId="0" fontId="24" fillId="0" borderId="2" xfId="7" applyFont="1" applyBorder="1" applyAlignment="1">
      <alignment vertical="center"/>
    </xf>
    <xf numFmtId="0" fontId="34" fillId="0" borderId="2" xfId="7" applyFont="1" applyBorder="1" applyAlignment="1">
      <alignment vertical="center" wrapText="1"/>
    </xf>
    <xf numFmtId="0" fontId="24" fillId="0" borderId="42" xfId="7" applyFont="1" applyBorder="1" applyAlignment="1">
      <alignment vertical="center"/>
    </xf>
    <xf numFmtId="0" fontId="7" fillId="6" borderId="25" xfId="2" applyFill="1" applyBorder="1" applyAlignment="1">
      <alignment vertical="center" wrapText="1"/>
    </xf>
    <xf numFmtId="0" fontId="2" fillId="0" borderId="0" xfId="3" applyFont="1" applyAlignment="1">
      <alignment horizontal="right" vertical="center"/>
    </xf>
    <xf numFmtId="0" fontId="2" fillId="6" borderId="0" xfId="3" applyFont="1" applyFill="1" applyAlignment="1">
      <alignment horizontal="right" vertical="center"/>
    </xf>
    <xf numFmtId="0" fontId="2" fillId="5" borderId="0" xfId="3" applyFont="1" applyFill="1" applyAlignment="1">
      <alignment horizontal="left" vertical="center"/>
    </xf>
    <xf numFmtId="0" fontId="2" fillId="5" borderId="0" xfId="3" applyFont="1" applyFill="1" applyAlignment="1">
      <alignment vertical="center"/>
    </xf>
    <xf numFmtId="0" fontId="2" fillId="4" borderId="0" xfId="3" applyFont="1" applyFill="1" applyAlignment="1">
      <alignment horizontal="left" vertical="center"/>
    </xf>
    <xf numFmtId="164" fontId="2" fillId="0" borderId="0" xfId="1" applyFont="1" applyFill="1" applyAlignment="1">
      <alignment horizontal="left" vertical="center"/>
    </xf>
    <xf numFmtId="164" fontId="2" fillId="0" borderId="0" xfId="1" applyFont="1" applyFill="1"/>
    <xf numFmtId="164" fontId="2" fillId="0" borderId="0" xfId="0" applyNumberFormat="1" applyFont="1"/>
    <xf numFmtId="164" fontId="2" fillId="0" borderId="0" xfId="1" applyFont="1" applyAlignment="1">
      <alignment horizontal="right"/>
    </xf>
    <xf numFmtId="43" fontId="2" fillId="0" borderId="0" xfId="0" applyNumberFormat="1" applyFont="1"/>
    <xf numFmtId="0" fontId="2" fillId="5" borderId="0" xfId="0" applyFont="1" applyFill="1"/>
    <xf numFmtId="164" fontId="2" fillId="0" borderId="0" xfId="1" applyFont="1"/>
    <xf numFmtId="0" fontId="74" fillId="0" borderId="0" xfId="0" applyFont="1" applyAlignment="1">
      <alignment vertical="center"/>
    </xf>
    <xf numFmtId="0" fontId="2" fillId="5" borderId="46" xfId="7" applyFont="1" applyFill="1" applyBorder="1" applyAlignment="1">
      <alignment horizontal="left" vertical="center"/>
    </xf>
    <xf numFmtId="0" fontId="43" fillId="5" borderId="21" xfId="7" applyFont="1" applyFill="1" applyBorder="1" applyAlignment="1">
      <alignment vertical="center"/>
    </xf>
    <xf numFmtId="0" fontId="73" fillId="0" borderId="0" xfId="0" applyFont="1" applyAlignment="1">
      <alignment vertical="center" wrapText="1"/>
    </xf>
    <xf numFmtId="0" fontId="2" fillId="0" borderId="31" xfId="0" applyFont="1" applyBorder="1"/>
    <xf numFmtId="0" fontId="35" fillId="0" borderId="0" xfId="3" applyFont="1" applyAlignment="1">
      <alignment horizontal="left" vertical="center" wrapText="1"/>
    </xf>
    <xf numFmtId="0" fontId="50" fillId="5" borderId="0" xfId="2" applyFont="1" applyFill="1" applyBorder="1" applyAlignment="1">
      <alignment vertical="center"/>
    </xf>
    <xf numFmtId="0" fontId="28" fillId="5" borderId="3" xfId="2" applyFont="1" applyFill="1" applyBorder="1" applyAlignment="1">
      <alignment horizontal="center" vertical="center"/>
    </xf>
    <xf numFmtId="0" fontId="39" fillId="5" borderId="0" xfId="2" applyFont="1" applyFill="1" applyBorder="1" applyAlignment="1">
      <alignment vertical="center" wrapText="1"/>
    </xf>
    <xf numFmtId="0" fontId="34" fillId="5" borderId="0" xfId="3" applyFont="1" applyFill="1" applyAlignment="1">
      <alignment horizontal="left" vertical="center" wrapText="1" indent="2"/>
    </xf>
    <xf numFmtId="0" fontId="28" fillId="5" borderId="17" xfId="2" applyFont="1" applyFill="1" applyBorder="1" applyAlignment="1">
      <alignment horizontal="center" vertical="center"/>
    </xf>
    <xf numFmtId="0" fontId="28" fillId="5" borderId="18" xfId="2" applyFont="1" applyFill="1" applyBorder="1" applyAlignment="1">
      <alignment horizontal="center" vertical="center"/>
    </xf>
    <xf numFmtId="0" fontId="28" fillId="5" borderId="19" xfId="2" applyFont="1" applyFill="1" applyBorder="1" applyAlignment="1">
      <alignment horizontal="center" vertical="center"/>
    </xf>
    <xf numFmtId="0" fontId="37" fillId="5" borderId="0" xfId="2" applyFont="1" applyFill="1" applyBorder="1" applyAlignment="1">
      <alignment vertical="center"/>
    </xf>
    <xf numFmtId="0" fontId="35" fillId="0" borderId="0" xfId="7" applyFont="1" applyAlignment="1">
      <alignment horizontal="left" vertical="center" wrapText="1"/>
    </xf>
    <xf numFmtId="0" fontId="24" fillId="5" borderId="0" xfId="7" applyFont="1" applyFill="1" applyAlignment="1">
      <alignment horizontal="left" vertical="center"/>
    </xf>
    <xf numFmtId="0" fontId="61" fillId="5" borderId="0" xfId="7" applyFont="1" applyFill="1" applyAlignment="1">
      <alignment horizontal="left" vertical="center"/>
    </xf>
    <xf numFmtId="0" fontId="36" fillId="5" borderId="0" xfId="7" applyFont="1" applyFill="1" applyAlignment="1">
      <alignment horizontal="left" vertical="center" wrapText="1" indent="3"/>
    </xf>
    <xf numFmtId="0" fontId="43" fillId="5" borderId="0" xfId="7" applyFont="1" applyFill="1" applyAlignment="1">
      <alignment horizontal="left" vertical="center" wrapText="1" indent="3"/>
    </xf>
    <xf numFmtId="0" fontId="39" fillId="5" borderId="0" xfId="2" applyFont="1" applyFill="1" applyAlignment="1"/>
    <xf numFmtId="0" fontId="24" fillId="0" borderId="44" xfId="7" applyFont="1" applyBorder="1" applyAlignment="1">
      <alignment vertical="center"/>
    </xf>
    <xf numFmtId="0" fontId="24" fillId="0" borderId="45" xfId="7" applyFont="1" applyBorder="1" applyAlignment="1">
      <alignment vertical="center"/>
    </xf>
    <xf numFmtId="0" fontId="35" fillId="0" borderId="40" xfId="7" applyFont="1" applyBorder="1" applyAlignment="1">
      <alignment horizontal="left" vertical="center"/>
    </xf>
    <xf numFmtId="0" fontId="21" fillId="0" borderId="0" xfId="0" applyFont="1" applyAlignment="1">
      <alignment vertical="center"/>
    </xf>
    <xf numFmtId="0" fontId="35" fillId="0" borderId="0" xfId="7" applyFont="1" applyAlignment="1">
      <alignment horizontal="left" vertical="center"/>
    </xf>
    <xf numFmtId="0" fontId="20" fillId="0" borderId="0" xfId="2" applyFont="1" applyFill="1" applyBorder="1" applyAlignment="1">
      <alignment horizontal="center" vertical="center"/>
    </xf>
    <xf numFmtId="0" fontId="43" fillId="5" borderId="0" xfId="7" applyFont="1" applyFill="1" applyAlignment="1">
      <alignment vertical="center" wrapText="1"/>
    </xf>
    <xf numFmtId="0" fontId="53" fillId="5" borderId="0" xfId="2" applyFont="1" applyFill="1" applyAlignment="1"/>
    <xf numFmtId="0" fontId="28" fillId="5" borderId="43" xfId="2" applyFont="1" applyFill="1" applyBorder="1" applyAlignment="1">
      <alignment horizontal="center" vertical="center"/>
    </xf>
    <xf numFmtId="0" fontId="28" fillId="5" borderId="22" xfId="2" applyFont="1" applyFill="1" applyBorder="1" applyAlignment="1">
      <alignment horizontal="center" vertical="center"/>
    </xf>
    <xf numFmtId="0" fontId="28" fillId="5" borderId="41" xfId="2" applyFont="1" applyFill="1" applyBorder="1" applyAlignment="1">
      <alignment horizontal="center" vertical="center"/>
    </xf>
    <xf numFmtId="0" fontId="28" fillId="5" borderId="0" xfId="2" applyFont="1" applyFill="1" applyBorder="1" applyAlignment="1">
      <alignment horizontal="center" vertical="center"/>
    </xf>
    <xf numFmtId="0" fontId="35" fillId="0" borderId="0" xfId="3" applyFont="1" applyAlignment="1">
      <alignment horizontal="left" vertical="center"/>
    </xf>
    <xf numFmtId="0" fontId="2" fillId="0" borderId="0" xfId="3" applyFont="1" applyAlignment="1">
      <alignment horizontal="left" vertical="center"/>
    </xf>
    <xf numFmtId="0" fontId="43" fillId="5" borderId="0" xfId="3" applyFont="1" applyFill="1" applyAlignment="1">
      <alignment horizontal="left" vertical="center" wrapText="1" indent="3"/>
    </xf>
    <xf numFmtId="0" fontId="16" fillId="5" borderId="0" xfId="3" applyFont="1" applyFill="1" applyAlignment="1">
      <alignment vertical="center"/>
    </xf>
    <xf numFmtId="0" fontId="54" fillId="5" borderId="0" xfId="3" applyFont="1" applyFill="1" applyAlignment="1">
      <alignment horizontal="left" vertical="center"/>
    </xf>
    <xf numFmtId="0" fontId="43" fillId="0" borderId="0" xfId="3" applyFont="1" applyAlignment="1">
      <alignment horizontal="left" vertical="center"/>
    </xf>
    <xf numFmtId="0" fontId="25" fillId="6" borderId="0" xfId="3" applyFont="1" applyFill="1" applyAlignment="1">
      <alignment vertical="center"/>
    </xf>
    <xf numFmtId="0" fontId="57" fillId="8" borderId="27" xfId="3" applyFont="1" applyFill="1" applyBorder="1" applyAlignment="1">
      <alignment horizontal="left" vertical="center"/>
    </xf>
    <xf numFmtId="0" fontId="57" fillId="8" borderId="1" xfId="3" applyFont="1" applyFill="1" applyBorder="1" applyAlignment="1">
      <alignment horizontal="left" vertical="center"/>
    </xf>
    <xf numFmtId="0" fontId="57" fillId="8" borderId="28" xfId="3" applyFont="1" applyFill="1" applyBorder="1" applyAlignment="1">
      <alignment horizontal="left" vertical="center"/>
    </xf>
    <xf numFmtId="0" fontId="35" fillId="0" borderId="40" xfId="3" applyFont="1" applyBorder="1" applyAlignment="1">
      <alignment horizontal="left" vertical="center"/>
    </xf>
    <xf numFmtId="0" fontId="24" fillId="5" borderId="0" xfId="3" applyFont="1" applyFill="1" applyAlignment="1">
      <alignment horizontal="left" vertical="center"/>
    </xf>
    <xf numFmtId="0" fontId="61" fillId="5" borderId="0" xfId="3" applyFont="1" applyFill="1" applyAlignment="1">
      <alignment horizontal="left" vertical="center"/>
    </xf>
    <xf numFmtId="0" fontId="24" fillId="0" borderId="42" xfId="3" applyFont="1" applyBorder="1" applyAlignment="1">
      <alignment vertical="center"/>
    </xf>
    <xf numFmtId="0" fontId="63" fillId="6" borderId="0" xfId="2" applyFont="1" applyFill="1" applyBorder="1" applyAlignment="1">
      <alignment horizontal="left" vertical="center" wrapText="1"/>
    </xf>
    <xf numFmtId="0" fontId="63" fillId="6" borderId="4" xfId="2" applyFont="1" applyFill="1" applyBorder="1" applyAlignment="1">
      <alignment horizontal="left" vertical="center" wrapText="1"/>
    </xf>
    <xf numFmtId="0" fontId="53" fillId="5" borderId="4" xfId="2" applyFont="1" applyFill="1" applyBorder="1" applyAlignment="1">
      <alignment horizontal="left" vertical="center" wrapText="1"/>
    </xf>
    <xf numFmtId="0" fontId="61" fillId="5" borderId="0" xfId="0" applyFont="1" applyFill="1" applyAlignment="1">
      <alignment vertical="center" wrapText="1"/>
    </xf>
    <xf numFmtId="0" fontId="43" fillId="5" borderId="0" xfId="0" applyFont="1" applyFill="1" applyAlignment="1">
      <alignment horizontal="left" vertical="center" wrapText="1"/>
    </xf>
    <xf numFmtId="0" fontId="43" fillId="5" borderId="0" xfId="0" applyFont="1" applyFill="1" applyAlignment="1">
      <alignment horizontal="left" vertical="center" wrapText="1" indent="3"/>
    </xf>
    <xf numFmtId="0" fontId="36" fillId="5" borderId="0" xfId="3" applyFont="1" applyFill="1" applyAlignment="1">
      <alignment horizontal="left" vertical="center" wrapText="1" indent="3"/>
    </xf>
    <xf numFmtId="0" fontId="36" fillId="5" borderId="0" xfId="0" applyFont="1" applyFill="1" applyAlignment="1">
      <alignment horizontal="left" vertical="center" wrapText="1" indent="3"/>
    </xf>
    <xf numFmtId="0" fontId="36" fillId="5" borderId="0" xfId="0" applyFont="1" applyFill="1" applyAlignment="1">
      <alignment horizontal="left" vertical="center" wrapText="1"/>
    </xf>
    <xf numFmtId="0" fontId="36" fillId="5" borderId="0" xfId="0" applyFont="1" applyFill="1" applyAlignment="1">
      <alignment horizontal="left" vertical="top" wrapText="1" indent="3"/>
    </xf>
    <xf numFmtId="0" fontId="26" fillId="5" borderId="0" xfId="0" applyFont="1" applyFill="1" applyAlignment="1">
      <alignment vertical="center"/>
    </xf>
    <xf numFmtId="0" fontId="34" fillId="0" borderId="2" xfId="3" applyFont="1" applyBorder="1" applyAlignment="1" applyProtection="1">
      <alignment vertical="center"/>
      <protection locked="0"/>
    </xf>
    <xf numFmtId="0" fontId="24" fillId="0" borderId="0" xfId="3" applyFont="1" applyAlignment="1">
      <alignment vertical="center"/>
    </xf>
    <xf numFmtId="0" fontId="43" fillId="5" borderId="0" xfId="0" applyFont="1" applyFill="1" applyAlignment="1">
      <alignment horizontal="left" vertical="center" wrapText="1" indent="2"/>
    </xf>
    <xf numFmtId="0" fontId="43" fillId="5" borderId="0" xfId="3" applyFont="1" applyFill="1" applyAlignment="1">
      <alignment horizontal="left" vertical="center" indent="1"/>
    </xf>
    <xf numFmtId="0" fontId="22" fillId="0" borderId="0" xfId="0" applyFont="1" applyAlignment="1"/>
    <xf numFmtId="0" fontId="27" fillId="5" borderId="0" xfId="0" applyFont="1" applyFill="1" applyAlignment="1">
      <alignment vertical="center"/>
    </xf>
    <xf numFmtId="0" fontId="23" fillId="5" borderId="0" xfId="0" applyFont="1" applyFill="1" applyAlignment="1">
      <alignment vertical="center" wrapText="1"/>
    </xf>
    <xf numFmtId="0" fontId="24" fillId="0" borderId="2" xfId="3" applyFont="1" applyBorder="1" applyAlignment="1">
      <alignment vertical="center"/>
    </xf>
  </cellXfs>
  <cellStyles count="8">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Normal 2 2" xfId="7" xr:uid="{0E1A76EF-4B86-1544-9A4D-F6F0D95B06E0}"/>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7"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2143" y="1023257"/>
          <a:ext cx="12954000" cy="44111"/>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4733" y="0"/>
          <a:ext cx="22377400"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51</xdr:row>
      <xdr:rowOff>0</xdr:rowOff>
    </xdr:from>
    <xdr:to>
      <xdr:col>14</xdr:col>
      <xdr:colOff>1</xdr:colOff>
      <xdr:row>92</xdr:row>
      <xdr:rowOff>113561</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ecretarial\Secretarial\Other\TTEITI\2019%202020\FX%20Rates\Exchange%20Rates%20Daily%20%20Central%20Bank%20of%20Trinidad%20and%20Tobago%20(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xtractives.sharepoint.com/sites/Data/Shared%20Documents/Summary%20data/2.0%20Summary%20Data%20-in%20review-/Trinidad%20and%20Tobago/2022%20Trinidad%20and%20Tobago%20SDT%202.0.xlsx" TargetMode="External"/><Relationship Id="rId1" Type="http://schemas.openxmlformats.org/officeDocument/2006/relationships/externalLinkPath" Target="/sites/Data/Shared%20Documents/Summary%20data/2.0%20Summary%20Data%20-in%20review-/Trinidad%20and%20Tobago/2022%20Trinidad%20and%20Tobago%20SDT%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row r="370">
          <cell r="T370">
            <v>6.7513161290322543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Part 1 - About"/>
      <sheetName val="Part 2 - Disclosure checklist"/>
      <sheetName val="Part 3 - Reporting entities"/>
      <sheetName val="Part 4 - Government revenues"/>
      <sheetName val="Part 5 - Company data"/>
      <sheetName val="Lists"/>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3:I72" totalsRowShown="0" headerRowDxfId="100" dataDxfId="99" tableBorderDxfId="98" headerRowCellStyle="Normal 2">
  <autoFilter ref="B23:I72" xr:uid="{29A02D02-B15A-4451-BC82-381511A5580C}"/>
  <tableColumns count="8">
    <tableColumn id="1" xr3:uid="{8CC8A279-3D52-433B-A927-54271A548F95}" name="Full company name" dataDxfId="97"/>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7" totalsRowShown="0" headerRowDxfId="89" dataDxfId="88" tableBorderDxfId="87" headerRowCellStyle="Normal 2">
  <autoFilter ref="B14:E17"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75:J136" totalsRowShown="0" headerRowDxfId="82" dataDxfId="81" tableBorderDxfId="80" headerRowCellStyle="Normal 2">
  <autoFilter ref="B75:J136"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66" totalsRowShown="0" headerRowDxfId="70" dataDxfId="69">
  <autoFilter ref="B21:K66" xr:uid="{00000000-0009-0000-0100-000006000000}"/>
  <sortState xmlns:xlrd2="http://schemas.microsoft.com/office/spreadsheetml/2017/richdata2" ref="B22:K66">
    <sortCondition ref="H21:H66"/>
  </sortState>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281" totalsRowShown="0" headerRowDxfId="58" dataDxfId="57">
  <autoFilter ref="B14:N281" xr:uid="{F6A9E8DB-AAD3-4F23-BDF8-F73CD40C929E}">
    <filterColumn colId="1">
      <filters>
        <filter val="Perenco T&amp;T Limited"/>
      </filters>
    </filterColumn>
  </autoFilter>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printerSettings" Target="../printerSettings/printerSettings2.bin"/><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tteiti.com/open-data" TargetMode="External"/><Relationship Id="rId5" Type="http://schemas.openxmlformats.org/officeDocument/2006/relationships/hyperlink" Target="mailto:slong@energy.gov.tt"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s://www.finance.gov.tt/wp-content/uploads/2020/10/Review-of-the-Economy-2020.pdf" TargetMode="External"/><Relationship Id="rId21" Type="http://schemas.openxmlformats.org/officeDocument/2006/relationships/hyperlink" Target="https://eiti.org/document/standard" TargetMode="External"/><Relationship Id="rId34" Type="http://schemas.openxmlformats.org/officeDocument/2006/relationships/hyperlink" Target="https://www.energy.gov.tt/services/license-registers/"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finance.gov.tt/publications/national-budget/review-of-the-economy/" TargetMode="External"/><Relationship Id="rId38" Type="http://schemas.openxmlformats.org/officeDocument/2006/relationships/hyperlink" Target="https://www.ema.co.tt/ema-legal/legislation/"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energy.gov.tt/wp-content/uploads/2013/12/Guidelines-Flow-Chart-Mining-Licence.pdf"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www.finance.gov.tt/category/budget-statement/" TargetMode="External"/><Relationship Id="rId37" Type="http://schemas.openxmlformats.org/officeDocument/2006/relationships/hyperlink" Target="https://www.energy.gov.tt/wp-content/uploads/2021/02/MEEI-Consolidated-Monthly-Bulletins_January-December-2020-15-2-2021-2.pdf" TargetMode="External"/><Relationship Id="rId40" Type="http://schemas.openxmlformats.org/officeDocument/2006/relationships/printerSettings" Target="../printerSettings/printerSettings3.bin"/><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www.energy.gov.tt/publications/"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www.auditorgeneral.gov.tt/"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www.energy.gov.tt/" TargetMode="External"/><Relationship Id="rId35" Type="http://schemas.openxmlformats.org/officeDocument/2006/relationships/hyperlink" Target="http://news.gov.tt/sites/default/files/E-Gazette/Gazette%202019/Acts/Act%20No.%206%20of%202019.pdf" TargetMode="External"/><Relationship Id="rId8" Type="http://schemas.openxmlformats.org/officeDocument/2006/relationships/hyperlink" Target="https://eiti.org/document/standard" TargetMode="External"/><Relationship Id="rId3"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table" Target="../tables/table4.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zoomScale="70" zoomScaleNormal="70" workbookViewId="0">
      <selection activeCell="H34" sqref="H34"/>
    </sheetView>
  </sheetViews>
  <sheetFormatPr defaultColWidth="4" defaultRowHeight="24" customHeight="1" x14ac:dyDescent="0.3"/>
  <cols>
    <col min="1" max="1" width="4" style="9"/>
    <col min="2" max="2" width="4" style="9" hidden="1" customWidth="1"/>
    <col min="3" max="3" width="76.44140625" style="9" customWidth="1"/>
    <col min="4" max="4" width="2.77734375" style="9" customWidth="1"/>
    <col min="5" max="5" width="56.21875" style="9" customWidth="1"/>
    <col min="6" max="6" width="2.77734375" style="9" customWidth="1"/>
    <col min="7" max="7" width="50.44140625" style="9" customWidth="1"/>
    <col min="8" max="16384" width="4" style="9"/>
  </cols>
  <sheetData>
    <row r="1" spans="3:7" ht="15.75" customHeight="1" x14ac:dyDescent="0.3">
      <c r="C1" s="10"/>
      <c r="D1" s="101"/>
      <c r="E1" s="101"/>
      <c r="F1" s="101"/>
      <c r="G1" s="101"/>
    </row>
    <row r="2" spans="3:7" ht="15" x14ac:dyDescent="0.3">
      <c r="C2" s="101"/>
      <c r="D2" s="101"/>
      <c r="E2" s="101"/>
      <c r="F2" s="101"/>
      <c r="G2" s="101"/>
    </row>
    <row r="3" spans="3:7" ht="15" x14ac:dyDescent="0.3">
      <c r="C3" s="101"/>
      <c r="D3" s="101"/>
      <c r="E3" s="257"/>
      <c r="F3" s="101"/>
      <c r="G3" s="257"/>
    </row>
    <row r="4" spans="3:7" ht="15" x14ac:dyDescent="0.3">
      <c r="C4" s="101"/>
      <c r="D4" s="101"/>
      <c r="E4" s="257" t="s">
        <v>0</v>
      </c>
      <c r="F4" s="101"/>
      <c r="G4" s="258" t="s">
        <v>1</v>
      </c>
    </row>
    <row r="5" spans="3:7" ht="15" x14ac:dyDescent="0.3">
      <c r="C5" s="101"/>
      <c r="D5" s="101"/>
      <c r="E5" s="101"/>
      <c r="F5" s="101"/>
      <c r="G5" s="101"/>
    </row>
    <row r="6" spans="3:7" ht="3.75" customHeight="1" x14ac:dyDescent="0.3">
      <c r="C6" s="101"/>
      <c r="D6" s="101"/>
      <c r="E6" s="101"/>
      <c r="F6" s="101"/>
      <c r="G6" s="101"/>
    </row>
    <row r="7" spans="3:7" ht="3.75" customHeight="1" x14ac:dyDescent="0.3">
      <c r="C7" s="101"/>
      <c r="D7" s="101"/>
      <c r="E7" s="101"/>
      <c r="F7" s="101"/>
      <c r="G7" s="101"/>
    </row>
    <row r="8" spans="3:7" ht="15" x14ac:dyDescent="0.3">
      <c r="C8" s="101"/>
      <c r="D8" s="101"/>
      <c r="E8" s="101"/>
      <c r="F8" s="101"/>
      <c r="G8" s="101"/>
    </row>
    <row r="9" spans="3:7" ht="15" x14ac:dyDescent="0.3">
      <c r="C9" s="27"/>
      <c r="D9" s="28"/>
      <c r="E9" s="28"/>
      <c r="F9" s="259"/>
      <c r="G9" s="259"/>
    </row>
    <row r="10" spans="3:7" x14ac:dyDescent="0.3">
      <c r="C10" s="61" t="s">
        <v>2</v>
      </c>
      <c r="D10" s="260"/>
      <c r="E10" s="260"/>
      <c r="F10" s="259"/>
      <c r="G10" s="259"/>
    </row>
    <row r="11" spans="3:7" ht="15" x14ac:dyDescent="0.3">
      <c r="C11" s="29" t="s">
        <v>3</v>
      </c>
      <c r="D11" s="30"/>
      <c r="E11" s="30"/>
      <c r="F11" s="259"/>
      <c r="G11" s="259"/>
    </row>
    <row r="12" spans="3:7" ht="15" x14ac:dyDescent="0.3">
      <c r="C12" s="27"/>
      <c r="D12" s="28"/>
      <c r="E12" s="28"/>
      <c r="F12" s="259"/>
      <c r="G12" s="259"/>
    </row>
    <row r="13" spans="3:7" ht="15" x14ac:dyDescent="0.3">
      <c r="C13" s="31" t="s">
        <v>4</v>
      </c>
      <c r="D13" s="28"/>
      <c r="E13" s="28"/>
      <c r="F13" s="259"/>
      <c r="G13" s="259"/>
    </row>
    <row r="14" spans="3:7" ht="15" x14ac:dyDescent="0.3">
      <c r="C14" s="278" t="s">
        <v>5</v>
      </c>
      <c r="D14" s="278"/>
      <c r="E14" s="278"/>
      <c r="F14" s="259"/>
      <c r="G14" s="259"/>
    </row>
    <row r="15" spans="3:7" ht="15" x14ac:dyDescent="0.3">
      <c r="C15" s="32"/>
      <c r="D15" s="32"/>
      <c r="E15" s="32"/>
      <c r="F15" s="259"/>
      <c r="G15" s="259"/>
    </row>
    <row r="16" spans="3:7" ht="15" x14ac:dyDescent="0.3">
      <c r="C16" s="33" t="s">
        <v>6</v>
      </c>
      <c r="D16" s="34"/>
      <c r="E16" s="34"/>
      <c r="F16" s="259"/>
      <c r="G16" s="259"/>
    </row>
    <row r="17" spans="3:7" ht="15" x14ac:dyDescent="0.3">
      <c r="C17" s="35" t="s">
        <v>7</v>
      </c>
      <c r="D17" s="34"/>
      <c r="E17" s="34"/>
      <c r="F17" s="259"/>
      <c r="G17" s="259"/>
    </row>
    <row r="18" spans="3:7" ht="15" x14ac:dyDescent="0.3">
      <c r="C18" s="35" t="s">
        <v>8</v>
      </c>
      <c r="D18" s="34"/>
      <c r="E18" s="34"/>
      <c r="F18" s="259"/>
      <c r="G18" s="259"/>
    </row>
    <row r="19" spans="3:7" ht="15" x14ac:dyDescent="0.3">
      <c r="C19" s="282" t="s">
        <v>9</v>
      </c>
      <c r="D19" s="282"/>
      <c r="E19" s="282"/>
      <c r="F19" s="259"/>
      <c r="G19" s="259"/>
    </row>
    <row r="20" spans="3:7" ht="32.1" customHeight="1" x14ac:dyDescent="0.3">
      <c r="C20" s="277" t="s">
        <v>10</v>
      </c>
      <c r="D20" s="277"/>
      <c r="E20" s="277"/>
      <c r="F20" s="259"/>
      <c r="G20" s="259"/>
    </row>
    <row r="21" spans="3:7" ht="15" x14ac:dyDescent="0.3">
      <c r="C21" s="34"/>
      <c r="D21" s="34"/>
      <c r="E21" s="34"/>
      <c r="F21" s="259"/>
      <c r="G21" s="259"/>
    </row>
    <row r="22" spans="3:7" ht="15" x14ac:dyDescent="0.3">
      <c r="C22" s="33" t="s">
        <v>11</v>
      </c>
      <c r="D22" s="35"/>
      <c r="E22" s="35"/>
      <c r="F22" s="259"/>
      <c r="G22" s="259"/>
    </row>
    <row r="23" spans="3:7" ht="15" x14ac:dyDescent="0.3">
      <c r="C23" s="35"/>
      <c r="D23" s="35"/>
      <c r="E23" s="35"/>
      <c r="F23" s="259"/>
      <c r="G23" s="259"/>
    </row>
    <row r="24" spans="3:7" ht="15" x14ac:dyDescent="0.3">
      <c r="C24" s="36"/>
      <c r="D24" s="260"/>
      <c r="E24" s="260"/>
      <c r="F24" s="259"/>
      <c r="G24" s="259"/>
    </row>
    <row r="25" spans="3:7" ht="15" x14ac:dyDescent="0.3">
      <c r="C25" s="37" t="s">
        <v>12</v>
      </c>
      <c r="D25" s="260"/>
      <c r="E25" s="260"/>
      <c r="F25" s="259"/>
      <c r="G25" s="259"/>
    </row>
    <row r="26" spans="3:7" ht="15" x14ac:dyDescent="0.3">
      <c r="C26" s="38"/>
      <c r="D26" s="260"/>
      <c r="E26" s="260"/>
      <c r="F26" s="259"/>
      <c r="G26" s="259"/>
    </row>
    <row r="27" spans="3:7" ht="15" x14ac:dyDescent="0.3">
      <c r="C27" s="39" t="s">
        <v>13</v>
      </c>
      <c r="D27" s="260"/>
      <c r="E27" s="260"/>
      <c r="F27" s="259"/>
      <c r="G27" s="259"/>
    </row>
    <row r="28" spans="3:7" ht="15" x14ac:dyDescent="0.3">
      <c r="C28" s="39" t="s">
        <v>14</v>
      </c>
      <c r="D28" s="260"/>
      <c r="E28" s="260"/>
      <c r="F28" s="259"/>
      <c r="G28" s="259"/>
    </row>
    <row r="29" spans="3:7" ht="15" x14ac:dyDescent="0.3">
      <c r="C29" s="39" t="s">
        <v>15</v>
      </c>
      <c r="D29" s="260"/>
      <c r="E29" s="260"/>
      <c r="F29" s="259"/>
      <c r="G29" s="259"/>
    </row>
    <row r="30" spans="3:7" ht="15" x14ac:dyDescent="0.3">
      <c r="C30" s="39" t="s">
        <v>16</v>
      </c>
      <c r="D30" s="260"/>
      <c r="E30" s="260"/>
      <c r="F30" s="259"/>
      <c r="G30" s="259"/>
    </row>
    <row r="31" spans="3:7" ht="15" x14ac:dyDescent="0.3">
      <c r="C31" s="39" t="s">
        <v>17</v>
      </c>
      <c r="D31" s="260"/>
      <c r="E31" s="260"/>
      <c r="F31" s="259"/>
      <c r="G31" s="259"/>
    </row>
    <row r="32" spans="3:7" ht="15" x14ac:dyDescent="0.3">
      <c r="C32" s="36"/>
      <c r="D32" s="36"/>
      <c r="E32" s="36"/>
      <c r="F32" s="259"/>
      <c r="G32" s="259"/>
    </row>
    <row r="33" spans="3:7" ht="15" x14ac:dyDescent="0.3">
      <c r="C33" s="275" t="s">
        <v>18</v>
      </c>
      <c r="D33" s="275"/>
      <c r="E33" s="275"/>
      <c r="F33" s="275"/>
      <c r="G33" s="275"/>
    </row>
    <row r="34" spans="3:7" s="11" customFormat="1" ht="15" x14ac:dyDescent="0.35">
      <c r="C34" s="12"/>
      <c r="D34" s="12"/>
      <c r="E34" s="13"/>
      <c r="F34" s="261"/>
      <c r="G34" s="261"/>
    </row>
    <row r="35" spans="3:7" ht="30" x14ac:dyDescent="0.3">
      <c r="C35" s="40" t="s">
        <v>19</v>
      </c>
      <c r="D35" s="101"/>
      <c r="E35" s="103" t="s">
        <v>20</v>
      </c>
      <c r="F35" s="101"/>
      <c r="G35" s="14" t="s">
        <v>21</v>
      </c>
    </row>
    <row r="36" spans="3:7" s="11" customFormat="1" ht="15" x14ac:dyDescent="0.3">
      <c r="C36" s="15"/>
      <c r="D36" s="261"/>
      <c r="E36" s="15"/>
      <c r="F36" s="261"/>
      <c r="G36" s="15"/>
    </row>
    <row r="37" spans="3:7" ht="15" x14ac:dyDescent="0.35">
      <c r="C37" s="33" t="s">
        <v>22</v>
      </c>
      <c r="D37" s="36"/>
      <c r="E37" s="41"/>
      <c r="F37" s="259"/>
      <c r="G37" s="259"/>
    </row>
    <row r="38" spans="3:7" ht="15" x14ac:dyDescent="0.35">
      <c r="C38" s="16"/>
      <c r="D38" s="16"/>
      <c r="E38" s="17"/>
      <c r="F38" s="101"/>
      <c r="G38" s="101"/>
    </row>
    <row r="40" spans="3:7" ht="15.6" customHeight="1" x14ac:dyDescent="0.3">
      <c r="C40" s="42" t="s">
        <v>23</v>
      </c>
      <c r="D40" s="18"/>
      <c r="E40" s="45" t="s">
        <v>24</v>
      </c>
      <c r="F40" s="46"/>
      <c r="G40" s="47"/>
    </row>
    <row r="41" spans="3:7" ht="43.5" customHeight="1" x14ac:dyDescent="0.3">
      <c r="C41" s="43" t="s">
        <v>25</v>
      </c>
      <c r="D41" s="18"/>
      <c r="E41" s="48" t="s">
        <v>26</v>
      </c>
      <c r="F41" s="49"/>
      <c r="G41" s="50"/>
    </row>
    <row r="42" spans="3:7" ht="31.5" customHeight="1" x14ac:dyDescent="0.3">
      <c r="C42" s="43" t="s">
        <v>27</v>
      </c>
      <c r="D42" s="18"/>
      <c r="E42" s="51" t="s">
        <v>28</v>
      </c>
      <c r="F42" s="49"/>
      <c r="G42" s="50"/>
    </row>
    <row r="43" spans="3:7" ht="24" customHeight="1" x14ac:dyDescent="0.3">
      <c r="C43" s="43" t="s">
        <v>29</v>
      </c>
      <c r="D43" s="18"/>
      <c r="E43" s="48" t="s">
        <v>30</v>
      </c>
      <c r="F43" s="49"/>
      <c r="G43" s="50"/>
    </row>
    <row r="44" spans="3:7" ht="48" customHeight="1" x14ac:dyDescent="0.3">
      <c r="C44" s="44" t="s">
        <v>31</v>
      </c>
      <c r="D44" s="18"/>
      <c r="E44" s="52" t="s">
        <v>32</v>
      </c>
      <c r="F44" s="53"/>
      <c r="G44" s="54"/>
    </row>
    <row r="45" spans="3:7" ht="12" customHeight="1" thickBot="1" x14ac:dyDescent="0.35">
      <c r="C45" s="101"/>
      <c r="D45" s="101"/>
      <c r="E45" s="101"/>
      <c r="F45" s="101"/>
      <c r="G45" s="101"/>
    </row>
    <row r="46" spans="3:7" ht="15.6" thickBot="1" x14ac:dyDescent="0.35">
      <c r="C46" s="279" t="s">
        <v>33</v>
      </c>
      <c r="D46" s="280"/>
      <c r="E46" s="280"/>
      <c r="F46" s="280"/>
      <c r="G46" s="281"/>
    </row>
    <row r="47" spans="3:7" ht="15.6" thickBot="1" x14ac:dyDescent="0.35">
      <c r="C47" s="276" t="s">
        <v>34</v>
      </c>
      <c r="D47" s="276"/>
      <c r="E47" s="276"/>
      <c r="F47" s="276"/>
      <c r="G47" s="276"/>
    </row>
    <row r="48" spans="3:7" ht="15.6" thickBot="1" x14ac:dyDescent="0.35">
      <c r="C48" s="16"/>
      <c r="D48" s="16"/>
      <c r="E48" s="16"/>
      <c r="F48" s="16"/>
      <c r="G48" s="101"/>
    </row>
    <row r="49" spans="2:7" ht="15" x14ac:dyDescent="0.3">
      <c r="B49" s="101"/>
      <c r="C49" s="19" t="s">
        <v>35</v>
      </c>
      <c r="D49" s="20"/>
      <c r="E49" s="21"/>
      <c r="F49" s="20"/>
      <c r="G49" s="20"/>
    </row>
    <row r="50" spans="2:7" ht="15" x14ac:dyDescent="0.3">
      <c r="B50" s="101"/>
      <c r="C50" s="274" t="s">
        <v>36</v>
      </c>
      <c r="D50" s="274"/>
      <c r="E50" s="274"/>
      <c r="F50" s="274"/>
      <c r="G50" s="274"/>
    </row>
    <row r="51" spans="2:7" ht="15" x14ac:dyDescent="0.3">
      <c r="B51" s="22" t="s">
        <v>37</v>
      </c>
      <c r="C51" s="23" t="s">
        <v>38</v>
      </c>
      <c r="D51" s="22"/>
      <c r="E51" s="24"/>
      <c r="F51" s="22"/>
      <c r="G51" s="25"/>
    </row>
    <row r="52" spans="2:7" ht="15" x14ac:dyDescent="0.3">
      <c r="B52" s="101"/>
      <c r="C52" s="101"/>
      <c r="D52" s="101"/>
      <c r="E52" s="101"/>
      <c r="F52" s="101"/>
      <c r="G52" s="101"/>
    </row>
    <row r="53" spans="2:7" ht="15" x14ac:dyDescent="0.3">
      <c r="B53" s="101"/>
      <c r="C53" s="101"/>
      <c r="D53" s="101"/>
      <c r="E53" s="101"/>
      <c r="F53" s="101"/>
      <c r="G53" s="101"/>
    </row>
    <row r="54" spans="2:7" ht="15" x14ac:dyDescent="0.3">
      <c r="B54" s="101"/>
      <c r="C54" s="101"/>
      <c r="D54" s="101"/>
      <c r="E54" s="101"/>
      <c r="F54" s="101"/>
      <c r="G54" s="101"/>
    </row>
    <row r="55" spans="2:7" ht="15" x14ac:dyDescent="0.3">
      <c r="B55" s="101"/>
      <c r="C55" s="101"/>
      <c r="D55" s="101"/>
      <c r="E55" s="101"/>
      <c r="F55" s="101"/>
      <c r="G55" s="101"/>
    </row>
    <row r="56" spans="2:7" ht="15" x14ac:dyDescent="0.3">
      <c r="B56" s="101"/>
      <c r="C56" s="101"/>
      <c r="D56" s="101"/>
      <c r="E56" s="101"/>
      <c r="F56" s="101"/>
      <c r="G56" s="101"/>
    </row>
    <row r="57" spans="2:7" ht="15" x14ac:dyDescent="0.3">
      <c r="B57" s="101"/>
      <c r="C57" s="101"/>
      <c r="D57" s="101"/>
      <c r="E57" s="101"/>
      <c r="F57" s="101"/>
      <c r="G57" s="101"/>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C803D-99B3-4D4E-A9A0-ED18FC456546}">
  <dimension ref="A1:G95"/>
  <sheetViews>
    <sheetView showGridLines="0" topLeftCell="A16" zoomScaleNormal="100" workbookViewId="0">
      <selection activeCell="E27" sqref="E27"/>
    </sheetView>
  </sheetViews>
  <sheetFormatPr defaultColWidth="4" defaultRowHeight="24" customHeight="1" x14ac:dyDescent="0.3"/>
  <cols>
    <col min="1" max="1" width="4" style="119"/>
    <col min="2" max="2" width="4" style="119" hidden="1" customWidth="1"/>
    <col min="3" max="3" width="75" style="119" bestFit="1" customWidth="1"/>
    <col min="4" max="4" width="2.77734375" style="119" customWidth="1"/>
    <col min="5" max="5" width="44.44140625" style="119" bestFit="1" customWidth="1"/>
    <col min="6" max="6" width="2.77734375" style="119" customWidth="1"/>
    <col min="7" max="7" width="40.21875" style="119" bestFit="1" customWidth="1"/>
    <col min="8" max="16384" width="4" style="119"/>
  </cols>
  <sheetData>
    <row r="1" spans="1:7" ht="16.2" x14ac:dyDescent="0.3"/>
    <row r="2" spans="1:7" ht="16.2" x14ac:dyDescent="0.3">
      <c r="C2" s="284" t="s">
        <v>39</v>
      </c>
      <c r="D2" s="284"/>
      <c r="E2" s="284"/>
      <c r="F2" s="284"/>
      <c r="G2" s="284"/>
    </row>
    <row r="3" spans="1:7" s="120" customFormat="1" x14ac:dyDescent="0.3">
      <c r="C3" s="285" t="s">
        <v>40</v>
      </c>
      <c r="D3" s="285"/>
      <c r="E3" s="285"/>
      <c r="F3" s="285"/>
      <c r="G3" s="285"/>
    </row>
    <row r="4" spans="1:7" ht="12.75" customHeight="1" x14ac:dyDescent="0.3">
      <c r="C4" s="286" t="s">
        <v>41</v>
      </c>
      <c r="D4" s="286"/>
      <c r="E4" s="286"/>
      <c r="F4" s="286"/>
      <c r="G4" s="286"/>
    </row>
    <row r="5" spans="1:7" ht="12.75" customHeight="1" x14ac:dyDescent="0.3">
      <c r="C5" s="287" t="s">
        <v>42</v>
      </c>
      <c r="D5" s="287"/>
      <c r="E5" s="287"/>
      <c r="F5" s="287"/>
      <c r="G5" s="287"/>
    </row>
    <row r="6" spans="1:7" ht="12.75" customHeight="1" x14ac:dyDescent="0.3">
      <c r="C6" s="287" t="s">
        <v>43</v>
      </c>
      <c r="D6" s="287"/>
      <c r="E6" s="287"/>
      <c r="F6" s="287"/>
      <c r="G6" s="287"/>
    </row>
    <row r="7" spans="1:7" ht="12.75" customHeight="1" x14ac:dyDescent="0.35">
      <c r="C7" s="288" t="s">
        <v>44</v>
      </c>
      <c r="D7" s="288"/>
      <c r="E7" s="288"/>
      <c r="F7" s="288"/>
      <c r="G7" s="288"/>
    </row>
    <row r="8" spans="1:7" ht="16.2" x14ac:dyDescent="0.3">
      <c r="C8" s="121"/>
      <c r="D8" s="122"/>
      <c r="E8" s="122"/>
      <c r="F8" s="121"/>
      <c r="G8" s="121"/>
    </row>
    <row r="9" spans="1:7" ht="16.2" x14ac:dyDescent="0.3">
      <c r="C9" s="123" t="s">
        <v>45</v>
      </c>
      <c r="D9" s="124"/>
      <c r="E9" s="125" t="s">
        <v>46</v>
      </c>
      <c r="F9" s="124"/>
      <c r="G9" s="126" t="s">
        <v>21</v>
      </c>
    </row>
    <row r="10" spans="1:7" ht="16.2" x14ac:dyDescent="0.3">
      <c r="C10" s="121"/>
      <c r="D10" s="122"/>
      <c r="E10" s="122"/>
      <c r="F10" s="121"/>
      <c r="G10" s="121"/>
    </row>
    <row r="11" spans="1:7" s="120" customFormat="1" x14ac:dyDescent="0.3">
      <c r="B11" s="127"/>
      <c r="C11" s="128" t="s">
        <v>47</v>
      </c>
      <c r="E11" s="129"/>
    </row>
    <row r="12" spans="1:7" ht="19.2" thickBot="1" x14ac:dyDescent="0.35">
      <c r="A12" s="130"/>
      <c r="B12" s="130"/>
      <c r="C12" s="131" t="s">
        <v>48</v>
      </c>
      <c r="D12" s="132"/>
      <c r="E12" s="133" t="s">
        <v>49</v>
      </c>
      <c r="F12" s="132"/>
      <c r="G12" s="134" t="s">
        <v>50</v>
      </c>
    </row>
    <row r="13" spans="1:7" ht="16.8" thickBot="1" x14ac:dyDescent="0.35">
      <c r="B13" s="135"/>
      <c r="C13" s="136" t="s">
        <v>37</v>
      </c>
      <c r="D13" s="137"/>
      <c r="E13" s="138"/>
      <c r="F13" s="137"/>
      <c r="G13" s="138"/>
    </row>
    <row r="14" spans="1:7" ht="16.2" x14ac:dyDescent="0.3">
      <c r="A14" s="139"/>
      <c r="B14" s="139" t="s">
        <v>37</v>
      </c>
      <c r="C14" s="140" t="s">
        <v>51</v>
      </c>
      <c r="D14" s="141"/>
      <c r="E14" s="142" t="s">
        <v>52</v>
      </c>
      <c r="F14" s="141"/>
      <c r="G14" s="143"/>
    </row>
    <row r="15" spans="1:7" ht="16.2" x14ac:dyDescent="0.3">
      <c r="A15" s="139"/>
      <c r="B15" s="139" t="s">
        <v>37</v>
      </c>
      <c r="C15" s="140" t="s">
        <v>53</v>
      </c>
      <c r="D15" s="141"/>
      <c r="E15" s="144" t="str">
        <f>IFERROR(VLOOKUP($E$14,[2]!Table1_Country_codes_and_currencies[#Data],3,FALSE),"")</f>
        <v>TTO</v>
      </c>
      <c r="F15" s="141"/>
      <c r="G15" s="143"/>
    </row>
    <row r="16" spans="1:7" ht="16.2" x14ac:dyDescent="0.3">
      <c r="B16" s="139" t="s">
        <v>37</v>
      </c>
      <c r="C16" s="140" t="s">
        <v>54</v>
      </c>
      <c r="D16" s="141"/>
      <c r="E16" s="144" t="str">
        <f>IFERROR(VLOOKUP($E$14,[2]!Table1_Country_codes_and_currencies[#Data],7,FALSE),"")</f>
        <v>Trinidad and Tobago Dollar</v>
      </c>
      <c r="F16" s="141"/>
      <c r="G16" s="143"/>
    </row>
    <row r="17" spans="1:7" ht="16.8" thickBot="1" x14ac:dyDescent="0.35">
      <c r="B17" s="139" t="s">
        <v>37</v>
      </c>
      <c r="C17" s="145" t="s">
        <v>55</v>
      </c>
      <c r="D17" s="146"/>
      <c r="E17" s="147" t="str">
        <f>IFERROR(VLOOKUP($E$14,[2]!Table1_Country_codes_and_currencies[#Data],5,FALSE),"")</f>
        <v>TTD</v>
      </c>
      <c r="F17" s="146"/>
      <c r="G17" s="148"/>
    </row>
    <row r="18" spans="1:7" ht="16.8" thickBot="1" x14ac:dyDescent="0.35">
      <c r="B18" s="135"/>
      <c r="C18" s="136" t="s">
        <v>56</v>
      </c>
      <c r="D18" s="137"/>
      <c r="E18" s="138"/>
      <c r="F18" s="137"/>
      <c r="G18" s="138"/>
    </row>
    <row r="19" spans="1:7" ht="16.2" x14ac:dyDescent="0.3">
      <c r="A19" s="139"/>
      <c r="B19" s="139" t="s">
        <v>56</v>
      </c>
      <c r="C19" s="140" t="s">
        <v>57</v>
      </c>
      <c r="D19" s="141"/>
      <c r="E19" s="149">
        <v>43739</v>
      </c>
      <c r="F19" s="141"/>
      <c r="G19" s="143"/>
    </row>
    <row r="20" spans="1:7" ht="16.8" thickBot="1" x14ac:dyDescent="0.35">
      <c r="A20" s="139"/>
      <c r="B20" s="139" t="s">
        <v>56</v>
      </c>
      <c r="C20" s="145" t="s">
        <v>58</v>
      </c>
      <c r="D20" s="146"/>
      <c r="E20" s="149">
        <v>44104</v>
      </c>
      <c r="F20" s="146"/>
      <c r="G20" s="148"/>
    </row>
    <row r="21" spans="1:7" ht="16.8" thickBot="1" x14ac:dyDescent="0.35">
      <c r="B21" s="135"/>
      <c r="C21" s="136" t="s">
        <v>59</v>
      </c>
      <c r="D21" s="137"/>
      <c r="E21" s="150"/>
      <c r="F21" s="137"/>
      <c r="G21" s="138"/>
    </row>
    <row r="22" spans="1:7" ht="16.2" x14ac:dyDescent="0.3">
      <c r="B22" s="139" t="s">
        <v>59</v>
      </c>
      <c r="C22" s="151" t="s">
        <v>60</v>
      </c>
      <c r="D22" s="141"/>
      <c r="E22" s="142" t="s">
        <v>61</v>
      </c>
      <c r="F22" s="141"/>
      <c r="G22" s="143"/>
    </row>
    <row r="23" spans="1:7" ht="16.2" x14ac:dyDescent="0.3">
      <c r="A23" s="139"/>
      <c r="B23" s="139" t="s">
        <v>59</v>
      </c>
      <c r="C23" s="140" t="s">
        <v>62</v>
      </c>
      <c r="D23" s="141"/>
      <c r="E23" s="152" t="s">
        <v>63</v>
      </c>
      <c r="F23" s="141"/>
      <c r="G23" s="143"/>
    </row>
    <row r="24" spans="1:7" ht="16.2" x14ac:dyDescent="0.3">
      <c r="B24" s="139" t="s">
        <v>59</v>
      </c>
      <c r="C24" s="140" t="s">
        <v>64</v>
      </c>
      <c r="D24" s="141"/>
      <c r="E24" s="153">
        <v>44796</v>
      </c>
      <c r="F24" s="141"/>
      <c r="G24" s="143"/>
    </row>
    <row r="25" spans="1:7" ht="16.2" x14ac:dyDescent="0.3">
      <c r="A25" s="139"/>
      <c r="B25" s="139" t="s">
        <v>59</v>
      </c>
      <c r="C25" s="140" t="s">
        <v>65</v>
      </c>
      <c r="D25" s="141"/>
      <c r="E25" s="154" t="s">
        <v>66</v>
      </c>
      <c r="F25" s="141"/>
      <c r="G25" s="143"/>
    </row>
    <row r="26" spans="1:7" ht="16.2" x14ac:dyDescent="0.3">
      <c r="B26" s="139" t="s">
        <v>59</v>
      </c>
      <c r="C26" s="155" t="s">
        <v>67</v>
      </c>
      <c r="D26" s="156"/>
      <c r="E26" s="152" t="s">
        <v>68</v>
      </c>
      <c r="F26" s="156"/>
      <c r="G26" s="157"/>
    </row>
    <row r="27" spans="1:7" ht="16.2" x14ac:dyDescent="0.3">
      <c r="B27" s="139" t="s">
        <v>59</v>
      </c>
      <c r="C27" s="140" t="s">
        <v>69</v>
      </c>
      <c r="D27" s="141"/>
      <c r="E27" s="153">
        <v>44796</v>
      </c>
      <c r="F27" s="141"/>
      <c r="G27" s="158" t="s">
        <v>70</v>
      </c>
    </row>
    <row r="28" spans="1:7" ht="16.2" x14ac:dyDescent="0.3">
      <c r="A28" s="139"/>
      <c r="B28" s="139" t="s">
        <v>59</v>
      </c>
      <c r="C28" s="140" t="s">
        <v>71</v>
      </c>
      <c r="D28" s="141"/>
      <c r="E28" s="159" t="s">
        <v>72</v>
      </c>
      <c r="F28" s="141"/>
      <c r="G28" s="158"/>
    </row>
    <row r="29" spans="1:7" ht="16.2" x14ac:dyDescent="0.3">
      <c r="B29" s="139" t="s">
        <v>59</v>
      </c>
      <c r="C29" s="155" t="s">
        <v>73</v>
      </c>
      <c r="D29" s="156"/>
      <c r="E29" s="152" t="s">
        <v>74</v>
      </c>
      <c r="F29" s="160"/>
      <c r="G29" s="161"/>
    </row>
    <row r="30" spans="1:7" ht="16.2" x14ac:dyDescent="0.3">
      <c r="A30" s="139"/>
      <c r="B30" s="139" t="s">
        <v>59</v>
      </c>
      <c r="C30" s="140" t="s">
        <v>75</v>
      </c>
      <c r="D30" s="141"/>
      <c r="E30" s="153"/>
      <c r="F30" s="141"/>
      <c r="G30" s="143"/>
    </row>
    <row r="31" spans="1:7" ht="16.8" thickBot="1" x14ac:dyDescent="0.35">
      <c r="A31" s="139"/>
      <c r="B31" s="139" t="s">
        <v>59</v>
      </c>
      <c r="C31" s="140" t="s">
        <v>76</v>
      </c>
      <c r="D31" s="162"/>
      <c r="E31" s="60"/>
      <c r="F31" s="146"/>
      <c r="G31" s="163"/>
    </row>
    <row r="32" spans="1:7" ht="16.05" customHeight="1" thickBot="1" x14ac:dyDescent="0.35">
      <c r="C32" s="100" t="s">
        <v>77</v>
      </c>
      <c r="D32" s="164"/>
      <c r="E32" s="165"/>
      <c r="F32" s="166"/>
      <c r="G32" s="167"/>
    </row>
    <row r="33" spans="1:7" ht="16.2" x14ac:dyDescent="0.3">
      <c r="A33" s="139"/>
      <c r="B33" s="168"/>
      <c r="C33" s="169" t="s">
        <v>78</v>
      </c>
      <c r="D33" s="141"/>
      <c r="E33" s="170" t="s">
        <v>79</v>
      </c>
      <c r="F33" s="121"/>
      <c r="G33" s="171"/>
    </row>
    <row r="34" spans="1:7" ht="16.8" thickBot="1" x14ac:dyDescent="0.35">
      <c r="B34" s="139" t="s">
        <v>80</v>
      </c>
      <c r="C34" s="172" t="s">
        <v>81</v>
      </c>
      <c r="D34" s="146"/>
      <c r="E34" s="154" t="s">
        <v>82</v>
      </c>
      <c r="F34" s="137"/>
      <c r="G34" s="173"/>
    </row>
    <row r="35" spans="1:7" ht="18" customHeight="1" thickBot="1" x14ac:dyDescent="0.35">
      <c r="A35" s="139"/>
      <c r="B35" s="139" t="s">
        <v>80</v>
      </c>
      <c r="C35" s="136" t="s">
        <v>80</v>
      </c>
      <c r="D35" s="137"/>
      <c r="E35" s="166"/>
      <c r="F35" s="137"/>
      <c r="G35" s="166"/>
    </row>
    <row r="36" spans="1:7" ht="15.6" customHeight="1" x14ac:dyDescent="0.3">
      <c r="B36" s="139" t="s">
        <v>80</v>
      </c>
      <c r="C36" s="174" t="s">
        <v>83</v>
      </c>
      <c r="D36" s="141"/>
      <c r="E36" s="144"/>
      <c r="F36" s="141"/>
      <c r="G36" s="141"/>
    </row>
    <row r="37" spans="1:7" ht="16.5" customHeight="1" x14ac:dyDescent="0.3">
      <c r="A37" s="139"/>
      <c r="B37" s="139" t="s">
        <v>80</v>
      </c>
      <c r="C37" s="175" t="s">
        <v>84</v>
      </c>
      <c r="D37" s="141"/>
      <c r="E37" s="152" t="s">
        <v>61</v>
      </c>
      <c r="F37" s="141"/>
      <c r="G37" s="158"/>
    </row>
    <row r="38" spans="1:7" ht="16.5" customHeight="1" x14ac:dyDescent="0.3">
      <c r="A38" s="139"/>
      <c r="B38" s="139" t="s">
        <v>80</v>
      </c>
      <c r="C38" s="175" t="s">
        <v>85</v>
      </c>
      <c r="D38" s="141"/>
      <c r="E38" s="152" t="s">
        <v>61</v>
      </c>
      <c r="F38" s="141"/>
      <c r="G38" s="158"/>
    </row>
    <row r="39" spans="1:7" ht="15.6" customHeight="1" x14ac:dyDescent="0.3">
      <c r="B39" s="139" t="s">
        <v>80</v>
      </c>
      <c r="C39" s="175" t="s">
        <v>86</v>
      </c>
      <c r="D39" s="141"/>
      <c r="E39" s="152" t="s">
        <v>61</v>
      </c>
      <c r="F39" s="141"/>
      <c r="G39" s="158"/>
    </row>
    <row r="40" spans="1:7" ht="18" customHeight="1" x14ac:dyDescent="0.3">
      <c r="B40" s="139" t="s">
        <v>80</v>
      </c>
      <c r="C40" s="175" t="s">
        <v>87</v>
      </c>
      <c r="D40" s="141"/>
      <c r="E40" s="152" t="s">
        <v>74</v>
      </c>
      <c r="F40" s="141"/>
      <c r="G40" s="158"/>
    </row>
    <row r="41" spans="1:7" ht="16.2" x14ac:dyDescent="0.3">
      <c r="B41" s="139" t="s">
        <v>80</v>
      </c>
      <c r="C41" s="176" t="s">
        <v>88</v>
      </c>
      <c r="D41" s="141"/>
      <c r="E41" s="152"/>
      <c r="F41" s="141"/>
      <c r="G41" s="158"/>
    </row>
    <row r="42" spans="1:7" ht="16.2" x14ac:dyDescent="0.3">
      <c r="B42" s="139" t="s">
        <v>80</v>
      </c>
      <c r="C42" s="175" t="s">
        <v>89</v>
      </c>
      <c r="D42" s="141"/>
      <c r="E42" s="152">
        <v>3</v>
      </c>
      <c r="F42" s="141"/>
      <c r="G42" s="158"/>
    </row>
    <row r="43" spans="1:7" ht="16.2" x14ac:dyDescent="0.3">
      <c r="B43" s="139" t="s">
        <v>80</v>
      </c>
      <c r="C43" s="175" t="s">
        <v>90</v>
      </c>
      <c r="D43" s="177"/>
      <c r="E43" s="152">
        <v>49</v>
      </c>
      <c r="F43" s="141"/>
      <c r="G43" s="178"/>
    </row>
    <row r="44" spans="1:7" ht="16.2" x14ac:dyDescent="0.3">
      <c r="B44" s="139" t="s">
        <v>80</v>
      </c>
      <c r="C44" s="58" t="s">
        <v>91</v>
      </c>
      <c r="D44" s="141"/>
      <c r="E44" s="179" t="s">
        <v>92</v>
      </c>
      <c r="F44" s="156"/>
      <c r="G44" s="158"/>
    </row>
    <row r="45" spans="1:7" ht="16.2" x14ac:dyDescent="0.3">
      <c r="B45" s="139" t="s">
        <v>80</v>
      </c>
      <c r="C45" s="180" t="s">
        <v>93</v>
      </c>
      <c r="D45" s="141"/>
      <c r="E45" s="181">
        <v>6.7203999999999997</v>
      </c>
      <c r="F45" s="141"/>
      <c r="G45" s="158"/>
    </row>
    <row r="46" spans="1:7" ht="30.6" thickBot="1" x14ac:dyDescent="0.35">
      <c r="B46" s="139" t="s">
        <v>80</v>
      </c>
      <c r="C46" s="182" t="s">
        <v>94</v>
      </c>
      <c r="D46" s="146"/>
      <c r="E46" s="99" t="s">
        <v>95</v>
      </c>
      <c r="F46" s="146"/>
      <c r="G46" s="183"/>
    </row>
    <row r="47" spans="1:7" s="130" customFormat="1" ht="16.8" thickBot="1" x14ac:dyDescent="0.35">
      <c r="A47" s="119"/>
      <c r="B47" s="139" t="s">
        <v>80</v>
      </c>
      <c r="C47" s="98" t="s">
        <v>96</v>
      </c>
      <c r="D47" s="146"/>
      <c r="E47" s="184"/>
      <c r="F47" s="146"/>
      <c r="G47" s="183"/>
    </row>
    <row r="48" spans="1:7" ht="15.6" customHeight="1" x14ac:dyDescent="0.3">
      <c r="B48" s="139" t="s">
        <v>80</v>
      </c>
      <c r="C48" s="175" t="s">
        <v>97</v>
      </c>
      <c r="D48" s="141"/>
      <c r="E48" s="152" t="s">
        <v>61</v>
      </c>
      <c r="F48" s="141"/>
      <c r="G48" s="158"/>
    </row>
    <row r="49" spans="1:7" s="139" customFormat="1" ht="16.2" x14ac:dyDescent="0.3">
      <c r="A49" s="119"/>
      <c r="C49" s="175" t="s">
        <v>98</v>
      </c>
      <c r="D49" s="141"/>
      <c r="E49" s="152" t="s">
        <v>61</v>
      </c>
      <c r="F49" s="141"/>
      <c r="G49" s="158"/>
    </row>
    <row r="50" spans="1:7" s="139" customFormat="1" ht="15.6" customHeight="1" x14ac:dyDescent="0.3">
      <c r="A50" s="119"/>
      <c r="C50" s="175" t="s">
        <v>99</v>
      </c>
      <c r="D50" s="141"/>
      <c r="E50" s="152" t="s">
        <v>61</v>
      </c>
      <c r="F50" s="141"/>
      <c r="G50" s="158"/>
    </row>
    <row r="51" spans="1:7" ht="16.8" thickBot="1" x14ac:dyDescent="0.35">
      <c r="B51" s="139"/>
      <c r="C51" s="185" t="s">
        <v>100</v>
      </c>
      <c r="D51" s="146"/>
      <c r="E51" s="186" t="s">
        <v>61</v>
      </c>
      <c r="F51" s="146"/>
      <c r="G51" s="183"/>
    </row>
    <row r="52" spans="1:7" ht="16.8" thickBot="1" x14ac:dyDescent="0.35">
      <c r="B52" s="139"/>
      <c r="C52" s="187" t="s">
        <v>101</v>
      </c>
      <c r="D52" s="188"/>
      <c r="E52" s="189">
        <f>SUM(E53:E56)</f>
        <v>1</v>
      </c>
      <c r="F52" s="188"/>
      <c r="G52" s="188"/>
    </row>
    <row r="53" spans="1:7" ht="16.2" x14ac:dyDescent="0.3">
      <c r="B53" s="139"/>
      <c r="C53" s="140" t="s">
        <v>102</v>
      </c>
      <c r="D53" s="141"/>
      <c r="E53" s="190">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0.41509433962264153</v>
      </c>
      <c r="F53" s="141"/>
      <c r="G53" s="191" t="s">
        <v>103</v>
      </c>
    </row>
    <row r="54" spans="1:7" s="139" customFormat="1" ht="16.2" x14ac:dyDescent="0.3">
      <c r="B54" s="135"/>
      <c r="C54" s="140" t="s">
        <v>104</v>
      </c>
      <c r="D54" s="141"/>
      <c r="E54" s="190">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0.35849056603773582</v>
      </c>
      <c r="F54" s="141"/>
      <c r="G54" s="191" t="s">
        <v>103</v>
      </c>
    </row>
    <row r="55" spans="1:7" s="139" customFormat="1" ht="16.2" x14ac:dyDescent="0.3">
      <c r="A55" s="119"/>
      <c r="B55" s="139" t="s">
        <v>105</v>
      </c>
      <c r="C55" s="140" t="s">
        <v>106</v>
      </c>
      <c r="D55" s="141"/>
      <c r="E55" s="190">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7.5471698113207544E-2</v>
      </c>
      <c r="F55" s="141"/>
      <c r="G55" s="191" t="s">
        <v>103</v>
      </c>
    </row>
    <row r="56" spans="1:7" ht="15" customHeight="1" thickBot="1" x14ac:dyDescent="0.35">
      <c r="B56" s="139" t="s">
        <v>105</v>
      </c>
      <c r="C56" s="140" t="s">
        <v>107</v>
      </c>
      <c r="D56" s="141"/>
      <c r="E56" s="190">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0.15094339622641509</v>
      </c>
      <c r="F56" s="141"/>
      <c r="G56" s="191" t="s">
        <v>103</v>
      </c>
    </row>
    <row r="57" spans="1:7" ht="16.8" thickBot="1" x14ac:dyDescent="0.35">
      <c r="B57" s="139" t="s">
        <v>105</v>
      </c>
      <c r="C57" s="192" t="s">
        <v>108</v>
      </c>
      <c r="D57" s="193"/>
      <c r="E57" s="194"/>
      <c r="F57" s="193"/>
      <c r="G57" s="193"/>
    </row>
    <row r="58" spans="1:7" s="139" customFormat="1" ht="16.2" x14ac:dyDescent="0.3">
      <c r="A58" s="119"/>
      <c r="B58" s="139" t="s">
        <v>105</v>
      </c>
      <c r="C58" s="140" t="s">
        <v>109</v>
      </c>
      <c r="D58" s="141"/>
      <c r="E58" s="142" t="s">
        <v>110</v>
      </c>
      <c r="F58" s="141"/>
      <c r="G58" s="143"/>
    </row>
    <row r="59" spans="1:7" ht="16.2" x14ac:dyDescent="0.3">
      <c r="C59" s="140" t="s">
        <v>111</v>
      </c>
      <c r="D59" s="141"/>
      <c r="E59" s="142" t="s">
        <v>112</v>
      </c>
      <c r="F59" s="141"/>
      <c r="G59" s="143"/>
    </row>
    <row r="60" spans="1:7" ht="16.2" x14ac:dyDescent="0.3">
      <c r="C60" s="140" t="s">
        <v>113</v>
      </c>
      <c r="D60" s="141"/>
      <c r="E60" s="195" t="s">
        <v>114</v>
      </c>
      <c r="F60" s="141"/>
      <c r="G60" s="143"/>
    </row>
    <row r="61" spans="1:7" ht="16.8" thickBot="1" x14ac:dyDescent="0.35">
      <c r="C61" s="196"/>
      <c r="D61" s="146"/>
      <c r="E61" s="147"/>
      <c r="F61" s="146"/>
      <c r="G61" s="162"/>
    </row>
    <row r="62" spans="1:7" s="139" customFormat="1" ht="16.8" thickBot="1" x14ac:dyDescent="0.35">
      <c r="A62" s="119"/>
      <c r="B62" s="119"/>
      <c r="C62" s="289"/>
      <c r="D62" s="289"/>
      <c r="E62" s="289"/>
      <c r="F62" s="289"/>
      <c r="G62" s="289"/>
    </row>
    <row r="63" spans="1:7" s="121" customFormat="1" ht="15.6" thickBot="1" x14ac:dyDescent="0.35">
      <c r="C63" s="279" t="s">
        <v>33</v>
      </c>
      <c r="D63" s="280"/>
      <c r="E63" s="280"/>
      <c r="F63" s="280"/>
      <c r="G63" s="281"/>
    </row>
    <row r="64" spans="1:7" s="121" customFormat="1" ht="15.6" thickBot="1" x14ac:dyDescent="0.35">
      <c r="C64" s="279" t="s">
        <v>34</v>
      </c>
      <c r="D64" s="280"/>
      <c r="E64" s="280"/>
      <c r="F64" s="280"/>
      <c r="G64" s="281"/>
    </row>
    <row r="65" spans="2:7" s="121" customFormat="1" ht="15.6" thickBot="1" x14ac:dyDescent="0.35">
      <c r="C65" s="290"/>
      <c r="D65" s="290"/>
      <c r="E65" s="290"/>
      <c r="F65" s="290"/>
      <c r="G65" s="290"/>
    </row>
    <row r="66" spans="2:7" s="121" customFormat="1" ht="18.75" customHeight="1" x14ac:dyDescent="0.3">
      <c r="C66" s="291" t="s">
        <v>35</v>
      </c>
      <c r="D66" s="291"/>
      <c r="E66" s="291"/>
      <c r="F66" s="291"/>
      <c r="G66" s="291"/>
    </row>
    <row r="67" spans="2:7" s="121" customFormat="1" ht="15" x14ac:dyDescent="0.3">
      <c r="C67" s="283" t="s">
        <v>36</v>
      </c>
      <c r="D67" s="283"/>
      <c r="E67" s="283"/>
      <c r="F67" s="283"/>
      <c r="G67" s="283"/>
    </row>
    <row r="68" spans="2:7" s="121" customFormat="1" ht="15" x14ac:dyDescent="0.3">
      <c r="B68" s="141" t="s">
        <v>37</v>
      </c>
      <c r="C68" s="293" t="s">
        <v>38</v>
      </c>
      <c r="D68" s="293"/>
      <c r="E68" s="293"/>
      <c r="F68" s="293"/>
      <c r="G68" s="293"/>
    </row>
    <row r="69" spans="2:7" ht="16.2" x14ac:dyDescent="0.3">
      <c r="C69" s="197"/>
      <c r="D69" s="139"/>
      <c r="E69" s="197"/>
      <c r="F69" s="139"/>
      <c r="G69" s="139"/>
    </row>
    <row r="70" spans="2:7" ht="15" customHeight="1" x14ac:dyDescent="0.3">
      <c r="C70" s="198"/>
      <c r="D70" s="198"/>
      <c r="E70" s="198"/>
      <c r="F70" s="198"/>
    </row>
    <row r="71" spans="2:7" ht="15" customHeight="1" x14ac:dyDescent="0.3"/>
    <row r="72" spans="2:7" ht="16.2" x14ac:dyDescent="0.3">
      <c r="C72" s="294"/>
      <c r="D72" s="294"/>
      <c r="E72" s="294"/>
      <c r="F72" s="294"/>
      <c r="G72" s="294"/>
    </row>
    <row r="73" spans="2:7" ht="16.2" x14ac:dyDescent="0.3">
      <c r="C73" s="294"/>
      <c r="D73" s="294"/>
      <c r="E73" s="294"/>
      <c r="F73" s="294"/>
      <c r="G73" s="294"/>
    </row>
    <row r="74" spans="2:7" ht="18.75" customHeight="1" x14ac:dyDescent="0.3">
      <c r="C74" s="294"/>
      <c r="D74" s="294"/>
      <c r="E74" s="294"/>
      <c r="F74" s="294"/>
      <c r="G74" s="294"/>
    </row>
    <row r="75" spans="2:7" ht="16.2" x14ac:dyDescent="0.3">
      <c r="C75" s="294"/>
      <c r="D75" s="294"/>
      <c r="E75" s="294"/>
      <c r="F75" s="294"/>
      <c r="G75" s="294"/>
    </row>
    <row r="76" spans="2:7" ht="16.2" x14ac:dyDescent="0.3">
      <c r="C76" s="198"/>
      <c r="D76" s="198"/>
      <c r="E76" s="198"/>
      <c r="F76" s="198"/>
    </row>
    <row r="77" spans="2:7" ht="16.2" x14ac:dyDescent="0.3">
      <c r="C77" s="292"/>
      <c r="D77" s="292"/>
      <c r="E77" s="292"/>
    </row>
    <row r="78" spans="2:7" ht="16.2" x14ac:dyDescent="0.3">
      <c r="C78" s="292"/>
      <c r="D78" s="292"/>
      <c r="E78" s="292"/>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78:E78"/>
    <mergeCell ref="C68:G68"/>
    <mergeCell ref="C72:G72"/>
    <mergeCell ref="C73:G73"/>
    <mergeCell ref="C74:G74"/>
    <mergeCell ref="C75:G75"/>
    <mergeCell ref="C77:E77"/>
    <mergeCell ref="C67:G67"/>
    <mergeCell ref="C2:G2"/>
    <mergeCell ref="C3:G3"/>
    <mergeCell ref="C4:G4"/>
    <mergeCell ref="C5:G5"/>
    <mergeCell ref="C6:G6"/>
    <mergeCell ref="C7:G7"/>
    <mergeCell ref="C62:G62"/>
    <mergeCell ref="C63:G63"/>
    <mergeCell ref="C64:G64"/>
    <mergeCell ref="C65:G65"/>
    <mergeCell ref="C66:G66"/>
  </mergeCells>
  <dataValidations count="17">
    <dataValidation type="list" allowBlank="1" showInputMessage="1" showErrorMessage="1" promptTitle="Choose from drop-down menu" prompt="Please select the relevant country from the drop-down menu" sqref="E14" xr:uid="{F43FE470-9866-C847-8B33-1B63C1DFC804}">
      <formula1>Countries_list</formula1>
    </dataValidation>
    <dataValidation showInputMessage="1" showErrorMessage="1" sqref="C32" xr:uid="{A86F7FE1-3280-D740-9DE6-352DBB5B8C38}"/>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3809375E-C4F2-6440-AB6F-97F1B2A9C7AC}"/>
    <dataValidation type="whole" showInputMessage="1" showErrorMessage="1" sqref="F1 D14:D61 G18 E21:G21 E52:G57 E32:G32 E35:G36 E47 C33:C68 F8:F61 G1:G2 D61:G61 C1:C31 D8:G13 D1:E2 F69:F1048576 E15:E18" xr:uid="{4A2849CB-F6FB-A049-8A03-D9184D509A94}">
      <formula1>999999</formula1>
      <formula2>99999999</formula2>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5D3B9326-499E-664A-A7D8-06475B583812}">
      <formula1>#REF!</formula1>
    </dataValidation>
    <dataValidation allowBlank="1" showInputMessage="1" showErrorMessage="1" promptTitle="URL" prompt="Please input URL" sqref="E31" xr:uid="{EBBE8448-3683-EB40-AA1B-ED0B45B0AAC3}"/>
    <dataValidation type="list" allowBlank="1" showInputMessage="1" showErrorMessage="1" promptTitle="Reporting type" prompt="Please indicate which type of reporting, between:_x000a__x000a_Systematic disclosure_x000a_EITI Report_x000a_Not available_x000a_Not applicable" sqref="E33" xr:uid="{D870EF09-2179-DA4F-8ADA-97558171626D}">
      <formula1>Reporting_options_list</formula1>
    </dataValidation>
    <dataValidation type="whole" operator="greaterThanOrEqual" allowBlank="1" showInputMessage="1" showErrorMessage="1" errorTitle="Number" error="Please input a number in this cell" sqref="E42:E43" xr:uid="{4063AB44-F783-864B-A5A0-38D59957AE8B}">
      <formula1>1</formula1>
    </dataValidation>
    <dataValidation allowBlank="1" showInputMessage="1" showErrorMessage="1" promptTitle="Additional relevant files" prompt="If several files relevant to the report exist, please indicate as such here. If several, please copy this into several rows." sqref="E31" xr:uid="{0BACCD70-C621-FF4E-8867-863045B070CC}"/>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2A5C627D-2999-9044-90F7-5A1B6B831319}">
      <formula1>36161</formula1>
      <formula2>47848</formula2>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92E193A7-20F8-114B-9B47-271B94D2C056}"/>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4160FD59-FC59-A949-BC5B-7888D6AB13B4}">
      <formula1>Simple_options_list</formula1>
    </dataValidation>
    <dataValidation allowBlank="1" showInputMessage="1" showErrorMessage="1" promptTitle="URL" prompt="Please insert direct URL to the reference document" sqref="E34 E46" xr:uid="{56698D8F-EC59-6344-9FC0-6F69A3ECFEF1}"/>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A01BC3F3-4225-5048-A07C-FDBBBB3FDC77}">
      <formula1>0</formula1>
      <formula2>9999999999999990000</formula2>
    </dataValidation>
    <dataValidation allowBlank="1" showInputMessage="1" showErrorMessage="1" promptTitle="Entity name" prompt="Insert name of the organisation, company, or government agency here" sqref="E23" xr:uid="{14655215-270F-8D45-891D-8A496D668AF7}"/>
    <dataValidation allowBlank="1" showInputMessage="1" showErrorMessage="1" promptTitle="EITI Report URL" prompt="Please insert direct URL to EITI Report (or report folder)." sqref="E25" xr:uid="{3F9BF025-55EC-0546-AB8D-BA06AABD9B64}"/>
    <dataValidation type="date" allowBlank="1" showInputMessage="1" showErrorMessage="1" errorTitle="Incorrect format" error="Please revise information according to specified format" promptTitle="Input date in specific format" prompt="YYYY-MM-DD" sqref="E19:E20 E24 E30 E27" xr:uid="{1985DB9A-DA30-964E-AA79-D69DB378155A}">
      <formula1>36161</formula1>
      <formula2>47848</formula2>
    </dataValidation>
  </dataValidations>
  <hyperlinks>
    <hyperlink ref="C44" r:id="rId1" display="Reporting currency (ISO-4217)" xr:uid="{05C5915E-4E03-3644-B79C-11E151EE05A5}"/>
    <hyperlink ref="C47" r:id="rId2" location="r4-7" xr:uid="{41C2F06F-E5CB-2A4D-8C43-A29E36F40FF7}"/>
    <hyperlink ref="C7" r:id="rId3" xr:uid="{64AC24BA-1336-B646-A659-0886C2038CCA}"/>
    <hyperlink ref="C32" r:id="rId4" location="r7-2" display="Public debate (Requirement 7.1)" xr:uid="{3BD2E414-876E-2744-804E-726FA1A3D26C}"/>
    <hyperlink ref="E60" r:id="rId5" xr:uid="{037E270B-1501-AB45-8E67-E6A2A622B457}"/>
    <hyperlink ref="E34" r:id="rId6" xr:uid="{4C35A029-CB66-4F2D-9764-54B00AC2A73D}"/>
  </hyperlinks>
  <pageMargins left="0.25" right="0.25" top="0.75" bottom="0.75" header="0.3" footer="0.3"/>
  <pageSetup paperSize="8" fitToHeight="0" orientation="landscape" horizontalDpi="2400" verticalDpi="24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A573-5A5C-D249-8BB9-163A08CC3286}">
  <dimension ref="A1:P209"/>
  <sheetViews>
    <sheetView showGridLines="0" topLeftCell="A90" zoomScale="90" zoomScaleNormal="90" workbookViewId="0">
      <selection activeCell="F117" sqref="F117"/>
    </sheetView>
  </sheetViews>
  <sheetFormatPr defaultColWidth="4" defaultRowHeight="24" customHeight="1" x14ac:dyDescent="0.3"/>
  <cols>
    <col min="1" max="1" width="4" style="119"/>
    <col min="2" max="2" width="56.44140625" style="119" customWidth="1"/>
    <col min="3" max="3" width="4" style="119"/>
    <col min="4" max="4" width="50.44140625" style="119" customWidth="1"/>
    <col min="5" max="5" width="5.44140625" style="119" customWidth="1"/>
    <col min="6" max="6" width="50.44140625" style="119" customWidth="1"/>
    <col min="7" max="7" width="4" style="119"/>
    <col min="8" max="8" width="53.77734375" style="119" customWidth="1"/>
    <col min="9" max="15" width="4" style="119"/>
    <col min="16" max="16" width="42" style="119" bestFit="1" customWidth="1"/>
    <col min="17" max="16384" width="4" style="119"/>
  </cols>
  <sheetData>
    <row r="1" spans="2:16" ht="16.2" x14ac:dyDescent="0.3"/>
    <row r="2" spans="2:16" s="121" customFormat="1" ht="15" x14ac:dyDescent="0.3">
      <c r="B2" s="199" t="s">
        <v>115</v>
      </c>
      <c r="C2" s="199"/>
      <c r="D2" s="199"/>
      <c r="E2" s="199"/>
      <c r="F2" s="199"/>
      <c r="G2" s="199"/>
      <c r="H2" s="199"/>
    </row>
    <row r="3" spans="2:16" s="120" customFormat="1" x14ac:dyDescent="0.3">
      <c r="B3" s="285" t="s">
        <v>40</v>
      </c>
      <c r="C3" s="285"/>
      <c r="D3" s="285"/>
      <c r="E3" s="285"/>
      <c r="F3" s="285"/>
      <c r="G3" s="285"/>
      <c r="H3" s="285"/>
    </row>
    <row r="4" spans="2:16" s="121" customFormat="1" ht="17.100000000000001" customHeight="1" x14ac:dyDescent="0.3">
      <c r="B4" s="295" t="s">
        <v>116</v>
      </c>
      <c r="C4" s="295"/>
      <c r="D4" s="295"/>
      <c r="E4" s="295"/>
      <c r="F4" s="295"/>
      <c r="G4" s="295"/>
      <c r="H4" s="295"/>
    </row>
    <row r="5" spans="2:16" s="121" customFormat="1" ht="15" x14ac:dyDescent="0.3">
      <c r="B5" s="287" t="s">
        <v>117</v>
      </c>
      <c r="C5" s="287"/>
      <c r="D5" s="287"/>
      <c r="E5" s="287"/>
      <c r="F5" s="287"/>
      <c r="G5" s="287"/>
      <c r="H5" s="287"/>
    </row>
    <row r="6" spans="2:16" s="121" customFormat="1" ht="15" x14ac:dyDescent="0.35">
      <c r="B6" s="287" t="s">
        <v>118</v>
      </c>
      <c r="C6" s="287"/>
      <c r="D6" s="287"/>
      <c r="E6" s="287"/>
      <c r="F6" s="287"/>
      <c r="G6" s="287"/>
      <c r="H6" s="287"/>
      <c r="P6" s="8"/>
    </row>
    <row r="7" spans="2:16" s="121" customFormat="1" ht="15" x14ac:dyDescent="0.3">
      <c r="B7" s="287" t="s">
        <v>119</v>
      </c>
      <c r="C7" s="287"/>
      <c r="D7" s="287"/>
      <c r="E7" s="287"/>
      <c r="F7" s="287"/>
      <c r="G7" s="287"/>
      <c r="H7" s="287"/>
    </row>
    <row r="8" spans="2:16" s="121" customFormat="1" ht="17.100000000000001" customHeight="1" x14ac:dyDescent="0.3">
      <c r="B8" s="287" t="s">
        <v>120</v>
      </c>
      <c r="C8" s="287"/>
      <c r="D8" s="287"/>
      <c r="E8" s="287"/>
      <c r="F8" s="287"/>
      <c r="G8" s="287"/>
      <c r="H8" s="287"/>
    </row>
    <row r="9" spans="2:16" s="121" customFormat="1" ht="15" customHeight="1" x14ac:dyDescent="0.35">
      <c r="B9" s="296" t="s">
        <v>121</v>
      </c>
      <c r="C9" s="296"/>
      <c r="D9" s="296"/>
      <c r="E9" s="296"/>
      <c r="F9" s="296"/>
      <c r="G9" s="296"/>
      <c r="H9" s="296"/>
    </row>
    <row r="10" spans="2:16" s="121" customFormat="1" ht="15" customHeight="1" x14ac:dyDescent="0.35">
      <c r="E10" s="62"/>
      <c r="F10" s="62"/>
      <c r="G10" s="62"/>
      <c r="H10" s="62"/>
    </row>
    <row r="11" spans="2:16" s="121" customFormat="1" ht="16.2" x14ac:dyDescent="0.3">
      <c r="B11" s="123" t="s">
        <v>45</v>
      </c>
      <c r="C11" s="124"/>
      <c r="D11" s="125" t="s">
        <v>46</v>
      </c>
      <c r="E11" s="124"/>
      <c r="F11" s="126" t="s">
        <v>21</v>
      </c>
      <c r="G11" s="119"/>
    </row>
    <row r="12" spans="2:16" s="121" customFormat="1" ht="15" x14ac:dyDescent="0.3"/>
    <row r="13" spans="2:16" s="120" customFormat="1" x14ac:dyDescent="0.3">
      <c r="B13" s="200" t="s">
        <v>122</v>
      </c>
      <c r="D13" s="129"/>
      <c r="F13" s="129"/>
    </row>
    <row r="14" spans="2:16" s="121" customFormat="1" ht="15" x14ac:dyDescent="0.3">
      <c r="B14" s="165" t="s">
        <v>123</v>
      </c>
      <c r="D14" s="165"/>
      <c r="F14" s="165"/>
    </row>
    <row r="15" spans="2:16" s="121" customFormat="1" ht="15" x14ac:dyDescent="0.3">
      <c r="B15" s="201"/>
      <c r="D15" s="202"/>
      <c r="F15" s="202"/>
    </row>
    <row r="16" spans="2:16" s="203" customFormat="1" ht="18.600000000000001" x14ac:dyDescent="0.3">
      <c r="B16" s="204" t="s">
        <v>124</v>
      </c>
      <c r="D16" s="204" t="s">
        <v>125</v>
      </c>
      <c r="F16" s="204" t="s">
        <v>126</v>
      </c>
      <c r="H16" s="205" t="s">
        <v>127</v>
      </c>
    </row>
    <row r="17" spans="1:8" s="121" customFormat="1" ht="32.25" customHeight="1" x14ac:dyDescent="0.3">
      <c r="B17" s="63" t="s">
        <v>128</v>
      </c>
      <c r="D17" s="206"/>
      <c r="F17" s="206"/>
      <c r="H17" s="207"/>
    </row>
    <row r="18" spans="1:8" s="121" customFormat="1" ht="15" x14ac:dyDescent="0.3">
      <c r="B18" s="208" t="s">
        <v>129</v>
      </c>
      <c r="D18" s="209"/>
      <c r="F18" s="209"/>
      <c r="H18" s="210"/>
    </row>
    <row r="19" spans="1:8" s="121" customFormat="1" ht="30" x14ac:dyDescent="0.3">
      <c r="B19" s="211" t="s">
        <v>130</v>
      </c>
      <c r="D19" s="212" t="s">
        <v>131</v>
      </c>
      <c r="F19" s="212" t="s">
        <v>132</v>
      </c>
      <c r="H19" s="213"/>
    </row>
    <row r="20" spans="1:8" s="121" customFormat="1" ht="90" x14ac:dyDescent="0.3">
      <c r="B20" s="211" t="s">
        <v>133</v>
      </c>
      <c r="D20" s="212" t="s">
        <v>131</v>
      </c>
      <c r="F20" s="212" t="s">
        <v>134</v>
      </c>
      <c r="H20" s="210"/>
    </row>
    <row r="21" spans="1:8" s="121" customFormat="1" ht="45" x14ac:dyDescent="0.3">
      <c r="B21" s="211" t="s">
        <v>135</v>
      </c>
      <c r="D21" s="212" t="s">
        <v>131</v>
      </c>
      <c r="F21" s="212" t="s">
        <v>136</v>
      </c>
      <c r="H21" s="210"/>
    </row>
    <row r="22" spans="1:8" s="121" customFormat="1" ht="15" x14ac:dyDescent="0.3">
      <c r="B22" s="214" t="s">
        <v>137</v>
      </c>
      <c r="D22" s="215" t="s">
        <v>131</v>
      </c>
      <c r="F22" s="212" t="s">
        <v>138</v>
      </c>
      <c r="H22" s="216"/>
    </row>
    <row r="23" spans="1:8" s="121" customFormat="1" ht="15" x14ac:dyDescent="0.3">
      <c r="B23" s="201"/>
      <c r="D23" s="202"/>
      <c r="F23" s="202"/>
    </row>
    <row r="24" spans="1:8" s="121" customFormat="1" ht="15" x14ac:dyDescent="0.3">
      <c r="B24" s="63" t="s">
        <v>139</v>
      </c>
      <c r="D24" s="206"/>
      <c r="F24" s="206"/>
      <c r="H24" s="207"/>
    </row>
    <row r="25" spans="1:8" s="121" customFormat="1" ht="15" x14ac:dyDescent="0.3">
      <c r="B25" s="208" t="s">
        <v>129</v>
      </c>
      <c r="D25" s="209"/>
      <c r="F25" s="209"/>
      <c r="H25" s="210"/>
    </row>
    <row r="26" spans="1:8" s="121" customFormat="1" ht="60" x14ac:dyDescent="0.3">
      <c r="B26" s="211" t="s">
        <v>140</v>
      </c>
      <c r="D26" s="212" t="s">
        <v>79</v>
      </c>
      <c r="F26" s="212" t="s">
        <v>141</v>
      </c>
      <c r="H26" s="210"/>
    </row>
    <row r="27" spans="1:8" s="121" customFormat="1" ht="60" x14ac:dyDescent="0.3">
      <c r="A27" s="217"/>
      <c r="B27" s="218" t="s">
        <v>142</v>
      </c>
      <c r="C27" s="219"/>
      <c r="D27" s="212" t="s">
        <v>131</v>
      </c>
      <c r="F27" s="212" t="s">
        <v>143</v>
      </c>
      <c r="H27" s="210"/>
    </row>
    <row r="28" spans="1:8" s="121" customFormat="1" ht="15" x14ac:dyDescent="0.3">
      <c r="B28" s="211" t="s">
        <v>144</v>
      </c>
      <c r="D28" s="212" t="s">
        <v>79</v>
      </c>
      <c r="F28" s="220" t="s">
        <v>145</v>
      </c>
      <c r="H28" s="210"/>
    </row>
    <row r="29" spans="1:8" s="121" customFormat="1" ht="15" x14ac:dyDescent="0.3">
      <c r="B29" s="221" t="s">
        <v>142</v>
      </c>
      <c r="C29" s="219"/>
      <c r="D29" s="212" t="s">
        <v>107</v>
      </c>
      <c r="F29" s="212"/>
      <c r="H29" s="210"/>
    </row>
    <row r="30" spans="1:8" s="121" customFormat="1" ht="30" x14ac:dyDescent="0.3">
      <c r="B30" s="211" t="s">
        <v>146</v>
      </c>
      <c r="D30" s="212" t="s">
        <v>131</v>
      </c>
      <c r="F30" s="212" t="s">
        <v>147</v>
      </c>
      <c r="H30" s="210"/>
    </row>
    <row r="31" spans="1:8" s="121" customFormat="1" ht="15" x14ac:dyDescent="0.3">
      <c r="B31" s="222" t="s">
        <v>148</v>
      </c>
      <c r="C31" s="219"/>
      <c r="D31" s="215">
        <v>1</v>
      </c>
      <c r="F31" s="220" t="s">
        <v>145</v>
      </c>
      <c r="H31" s="210"/>
    </row>
    <row r="32" spans="1:8" s="121" customFormat="1" ht="15" x14ac:dyDescent="0.3">
      <c r="B32" s="223"/>
      <c r="D32" s="202"/>
      <c r="F32" s="202"/>
      <c r="H32" s="224"/>
    </row>
    <row r="33" spans="2:8" s="121" customFormat="1" ht="15" x14ac:dyDescent="0.3">
      <c r="B33" s="63" t="s">
        <v>149</v>
      </c>
      <c r="D33" s="225"/>
      <c r="F33" s="225"/>
      <c r="H33" s="207"/>
    </row>
    <row r="34" spans="2:8" s="121" customFormat="1" ht="15" x14ac:dyDescent="0.3">
      <c r="B34" s="208" t="s">
        <v>150</v>
      </c>
      <c r="D34" s="212" t="s">
        <v>131</v>
      </c>
      <c r="F34" s="212" t="s">
        <v>151</v>
      </c>
      <c r="H34" s="210"/>
    </row>
    <row r="35" spans="2:8" s="121" customFormat="1" ht="15" x14ac:dyDescent="0.3">
      <c r="B35" s="208" t="s">
        <v>152</v>
      </c>
      <c r="D35" s="212" t="s">
        <v>131</v>
      </c>
      <c r="F35" s="212" t="s">
        <v>151</v>
      </c>
      <c r="H35" s="210"/>
    </row>
    <row r="36" spans="2:8" s="121" customFormat="1" ht="15" x14ac:dyDescent="0.3">
      <c r="B36" s="226" t="s">
        <v>153</v>
      </c>
      <c r="D36" s="212" t="s">
        <v>107</v>
      </c>
      <c r="F36" s="212"/>
      <c r="H36" s="216"/>
    </row>
    <row r="37" spans="2:8" s="121" customFormat="1" ht="15" x14ac:dyDescent="0.3">
      <c r="B37" s="201"/>
      <c r="D37" s="202"/>
      <c r="F37" s="202"/>
    </row>
    <row r="38" spans="2:8" s="121" customFormat="1" ht="15" x14ac:dyDescent="0.3">
      <c r="B38" s="63" t="s">
        <v>154</v>
      </c>
      <c r="D38" s="225"/>
      <c r="F38" s="225"/>
      <c r="H38" s="207"/>
    </row>
    <row r="39" spans="2:8" s="121" customFormat="1" ht="15" x14ac:dyDescent="0.3">
      <c r="B39" s="208" t="s">
        <v>155</v>
      </c>
      <c r="D39" s="212" t="s">
        <v>79</v>
      </c>
      <c r="F39" s="212" t="s">
        <v>156</v>
      </c>
      <c r="H39" s="210"/>
    </row>
    <row r="40" spans="2:8" s="121" customFormat="1" ht="15" x14ac:dyDescent="0.3">
      <c r="B40" s="211" t="s">
        <v>157</v>
      </c>
      <c r="D40" s="212" t="s">
        <v>107</v>
      </c>
      <c r="F40" s="212"/>
      <c r="H40" s="210"/>
    </row>
    <row r="41" spans="2:8" s="121" customFormat="1" ht="15" x14ac:dyDescent="0.3">
      <c r="B41" s="208" t="s">
        <v>158</v>
      </c>
      <c r="D41" s="212" t="s">
        <v>107</v>
      </c>
      <c r="F41" s="212"/>
      <c r="H41" s="210"/>
    </row>
    <row r="42" spans="2:8" s="121" customFormat="1" ht="15" x14ac:dyDescent="0.3">
      <c r="B42" s="208" t="s">
        <v>159</v>
      </c>
      <c r="D42" s="212" t="s">
        <v>107</v>
      </c>
      <c r="F42" s="212"/>
      <c r="H42" s="210"/>
    </row>
    <row r="43" spans="2:8" s="121" customFormat="1" ht="15" x14ac:dyDescent="0.3">
      <c r="B43" s="226" t="s">
        <v>160</v>
      </c>
      <c r="D43" s="215" t="s">
        <v>107</v>
      </c>
      <c r="F43" s="212"/>
      <c r="H43" s="216"/>
    </row>
    <row r="44" spans="2:8" s="121" customFormat="1" ht="15" x14ac:dyDescent="0.3">
      <c r="B44" s="201"/>
      <c r="D44" s="202"/>
      <c r="F44" s="202"/>
    </row>
    <row r="45" spans="2:8" s="121" customFormat="1" ht="15" x14ac:dyDescent="0.3">
      <c r="B45" s="63" t="s">
        <v>161</v>
      </c>
      <c r="D45" s="227"/>
      <c r="F45" s="227"/>
      <c r="H45" s="207"/>
    </row>
    <row r="46" spans="2:8" s="121" customFormat="1" ht="45" x14ac:dyDescent="0.3">
      <c r="B46" s="208" t="s">
        <v>162</v>
      </c>
      <c r="D46" s="212" t="s">
        <v>131</v>
      </c>
      <c r="F46" s="212" t="s">
        <v>163</v>
      </c>
      <c r="H46" s="210"/>
    </row>
    <row r="47" spans="2:8" s="121" customFormat="1" ht="15" x14ac:dyDescent="0.3">
      <c r="B47" s="211" t="s">
        <v>164</v>
      </c>
      <c r="D47" s="212" t="s">
        <v>131</v>
      </c>
      <c r="F47" s="212" t="s">
        <v>165</v>
      </c>
      <c r="H47" s="210"/>
    </row>
    <row r="48" spans="2:8" s="121" customFormat="1" ht="15" x14ac:dyDescent="0.3">
      <c r="B48" s="226" t="s">
        <v>166</v>
      </c>
      <c r="D48" s="70" t="s">
        <v>167</v>
      </c>
      <c r="F48" s="212" t="s">
        <v>165</v>
      </c>
      <c r="H48" s="216"/>
    </row>
    <row r="49" spans="2:8" s="121" customFormat="1" ht="15" x14ac:dyDescent="0.3">
      <c r="B49" s="201"/>
      <c r="D49" s="202"/>
      <c r="F49" s="202"/>
    </row>
    <row r="50" spans="2:8" s="121" customFormat="1" ht="15" x14ac:dyDescent="0.3">
      <c r="B50" s="63" t="s">
        <v>168</v>
      </c>
      <c r="D50" s="227"/>
      <c r="F50" s="227"/>
      <c r="H50" s="207"/>
    </row>
    <row r="51" spans="2:8" s="121" customFormat="1" ht="60" x14ac:dyDescent="0.3">
      <c r="B51" s="228" t="s">
        <v>169</v>
      </c>
      <c r="D51" s="212" t="s">
        <v>131</v>
      </c>
      <c r="F51" s="212" t="s">
        <v>170</v>
      </c>
      <c r="H51" s="210"/>
    </row>
    <row r="52" spans="2:8" s="121" customFormat="1" ht="45" x14ac:dyDescent="0.3">
      <c r="B52" s="229" t="s">
        <v>171</v>
      </c>
      <c r="D52" s="212" t="s">
        <v>131</v>
      </c>
      <c r="F52" s="212" t="s">
        <v>172</v>
      </c>
      <c r="H52" s="210"/>
    </row>
    <row r="53" spans="2:8" s="121" customFormat="1" ht="36" customHeight="1" x14ac:dyDescent="0.3">
      <c r="B53" s="230" t="s">
        <v>173</v>
      </c>
      <c r="D53" s="215" t="s">
        <v>131</v>
      </c>
      <c r="F53" s="215" t="s">
        <v>172</v>
      </c>
      <c r="H53" s="216"/>
    </row>
    <row r="54" spans="2:8" s="121" customFormat="1" ht="15" x14ac:dyDescent="0.3">
      <c r="B54" s="201"/>
      <c r="D54" s="202"/>
      <c r="F54" s="202"/>
    </row>
    <row r="55" spans="2:8" s="121" customFormat="1" ht="15" x14ac:dyDescent="0.3">
      <c r="B55" s="63" t="s">
        <v>174</v>
      </c>
      <c r="D55" s="227"/>
      <c r="F55" s="227"/>
      <c r="H55" s="207"/>
    </row>
    <row r="56" spans="2:8" s="121" customFormat="1" ht="30" x14ac:dyDescent="0.3">
      <c r="B56" s="231" t="s">
        <v>175</v>
      </c>
      <c r="D56" s="212" t="s">
        <v>131</v>
      </c>
      <c r="F56" s="215" t="s">
        <v>72</v>
      </c>
      <c r="H56" s="216"/>
    </row>
    <row r="57" spans="2:8" s="121" customFormat="1" ht="15" x14ac:dyDescent="0.3">
      <c r="B57" s="201"/>
      <c r="D57" s="202"/>
      <c r="F57" s="202"/>
    </row>
    <row r="58" spans="2:8" s="121" customFormat="1" ht="15" x14ac:dyDescent="0.3">
      <c r="B58" s="63" t="s">
        <v>176</v>
      </c>
      <c r="D58" s="227"/>
      <c r="F58" s="227"/>
      <c r="H58" s="207"/>
    </row>
    <row r="59" spans="2:8" s="121" customFormat="1" ht="15" x14ac:dyDescent="0.3">
      <c r="B59" s="102" t="s">
        <v>177</v>
      </c>
      <c r="D59" s="232"/>
      <c r="F59" s="232"/>
      <c r="H59" s="210"/>
    </row>
    <row r="60" spans="2:8" s="121" customFormat="1" ht="15" x14ac:dyDescent="0.3">
      <c r="B60" s="228" t="s">
        <v>178</v>
      </c>
      <c r="D60" s="212" t="s">
        <v>131</v>
      </c>
      <c r="F60" s="212" t="s">
        <v>179</v>
      </c>
      <c r="H60" s="210"/>
    </row>
    <row r="61" spans="2:8" s="121" customFormat="1" ht="15" x14ac:dyDescent="0.3">
      <c r="B61" s="228" t="s">
        <v>180</v>
      </c>
      <c r="D61" s="212" t="s">
        <v>79</v>
      </c>
      <c r="F61" s="212" t="s">
        <v>181</v>
      </c>
      <c r="H61" s="210"/>
    </row>
    <row r="62" spans="2:8" s="121" customFormat="1" ht="15" x14ac:dyDescent="0.3">
      <c r="B62" s="233" t="s">
        <v>182</v>
      </c>
      <c r="D62" s="234">
        <v>3277212.3119999999</v>
      </c>
      <c r="F62" s="212" t="s">
        <v>183</v>
      </c>
      <c r="H62" s="235" t="s">
        <v>184</v>
      </c>
    </row>
    <row r="63" spans="2:8" s="121" customFormat="1" ht="75" x14ac:dyDescent="0.3">
      <c r="B63" s="229" t="str">
        <f>LEFT(B62,SEARCH(",",B62))&amp;" value"</f>
        <v>Crude oil (2709), value</v>
      </c>
      <c r="D63" s="234">
        <v>803082869.60000002</v>
      </c>
      <c r="F63" s="212" t="s">
        <v>185</v>
      </c>
      <c r="H63" s="213" t="s">
        <v>186</v>
      </c>
    </row>
    <row r="64" spans="2:8" s="121" customFormat="1" ht="15" x14ac:dyDescent="0.3">
      <c r="B64" s="233" t="s">
        <v>187</v>
      </c>
      <c r="D64" s="237">
        <v>14045456.633579999</v>
      </c>
      <c r="F64" s="212" t="s">
        <v>2165</v>
      </c>
      <c r="H64" s="236" t="s">
        <v>188</v>
      </c>
    </row>
    <row r="65" spans="2:8" s="121" customFormat="1" ht="60" x14ac:dyDescent="0.3">
      <c r="B65" s="229" t="str">
        <f>LEFT(B64,SEARCH(",",B64))&amp;" value"</f>
        <v>Natural gas (2711), value</v>
      </c>
      <c r="D65" s="237">
        <v>1065260268</v>
      </c>
      <c r="F65" s="212" t="s">
        <v>185</v>
      </c>
      <c r="H65" s="213" t="s">
        <v>189</v>
      </c>
    </row>
    <row r="66" spans="2:8" s="121" customFormat="1" ht="30" x14ac:dyDescent="0.3">
      <c r="B66" s="233" t="s">
        <v>190</v>
      </c>
      <c r="D66" s="234">
        <v>1632772.78</v>
      </c>
      <c r="F66" s="212" t="s">
        <v>191</v>
      </c>
      <c r="H66" s="210" t="s">
        <v>192</v>
      </c>
    </row>
    <row r="67" spans="2:8" s="121" customFormat="1" ht="15" x14ac:dyDescent="0.3">
      <c r="B67" s="229" t="str">
        <f>LEFT(B66,SEARCH(",",B66))&amp;" value"</f>
        <v>Mineral substances not elsewhere specified (2530), value</v>
      </c>
      <c r="D67" s="212"/>
      <c r="F67" s="212" t="s">
        <v>185</v>
      </c>
      <c r="H67" s="210" t="s">
        <v>193</v>
      </c>
    </row>
    <row r="68" spans="2:8" s="121" customFormat="1" ht="15" x14ac:dyDescent="0.3">
      <c r="B68" s="233" t="s">
        <v>194</v>
      </c>
      <c r="D68" s="212"/>
      <c r="F68" s="212" t="s">
        <v>191</v>
      </c>
      <c r="H68" s="210"/>
    </row>
    <row r="69" spans="2:8" s="121" customFormat="1" ht="15" x14ac:dyDescent="0.3">
      <c r="B69" s="230" t="str">
        <f>LEFT(B68,SEARCH(",",B68))&amp;" value"</f>
        <v>Add commodities here, value</v>
      </c>
      <c r="D69" s="215"/>
      <c r="F69" s="215" t="s">
        <v>185</v>
      </c>
      <c r="H69" s="216"/>
    </row>
    <row r="70" spans="2:8" s="121" customFormat="1" ht="15" x14ac:dyDescent="0.3">
      <c r="B70" s="201"/>
      <c r="D70" s="202"/>
      <c r="F70" s="202"/>
    </row>
    <row r="71" spans="2:8" s="121" customFormat="1" ht="15" x14ac:dyDescent="0.3">
      <c r="B71" s="63" t="s">
        <v>195</v>
      </c>
      <c r="D71" s="227"/>
      <c r="F71" s="227"/>
      <c r="H71" s="207"/>
    </row>
    <row r="72" spans="2:8" s="121" customFormat="1" ht="45" x14ac:dyDescent="0.3">
      <c r="B72" s="228" t="s">
        <v>196</v>
      </c>
      <c r="D72" s="212" t="s">
        <v>131</v>
      </c>
      <c r="F72" s="212" t="s">
        <v>179</v>
      </c>
      <c r="H72" s="213" t="s">
        <v>197</v>
      </c>
    </row>
    <row r="73" spans="2:8" s="121" customFormat="1" ht="43.2" x14ac:dyDescent="0.3">
      <c r="B73" s="228" t="s">
        <v>198</v>
      </c>
      <c r="D73" s="212" t="s">
        <v>131</v>
      </c>
      <c r="F73" s="256" t="s">
        <v>199</v>
      </c>
      <c r="H73" s="210"/>
    </row>
    <row r="74" spans="2:8" s="121" customFormat="1" ht="15" x14ac:dyDescent="0.3">
      <c r="B74" s="233" t="s">
        <v>182</v>
      </c>
      <c r="D74" s="238">
        <v>2926938.6940000001</v>
      </c>
      <c r="F74" s="212" t="s">
        <v>183</v>
      </c>
      <c r="H74" s="210"/>
    </row>
    <row r="75" spans="2:8" s="121" customFormat="1" ht="15" x14ac:dyDescent="0.3">
      <c r="B75" s="229" t="str">
        <f>LEFT(B74,SEARCH(",",B74))&amp;" value"</f>
        <v>Crude oil (2709), value</v>
      </c>
      <c r="D75" s="237">
        <v>850300000</v>
      </c>
      <c r="F75" s="212" t="s">
        <v>185</v>
      </c>
      <c r="H75" s="210"/>
    </row>
    <row r="76" spans="2:8" s="121" customFormat="1" ht="15" x14ac:dyDescent="0.3">
      <c r="B76" s="233" t="s">
        <v>187</v>
      </c>
      <c r="D76" s="238">
        <v>13126032.276210001</v>
      </c>
      <c r="F76" s="212" t="s">
        <v>2165</v>
      </c>
      <c r="H76" s="210"/>
    </row>
    <row r="77" spans="2:8" s="121" customFormat="1" ht="15" x14ac:dyDescent="0.3">
      <c r="B77" s="229" t="str">
        <f>LEFT(B76,SEARCH(",",B76))&amp;" value"</f>
        <v>Natural gas (2711), value</v>
      </c>
      <c r="D77" s="234">
        <v>1075000000</v>
      </c>
      <c r="F77" s="212" t="s">
        <v>185</v>
      </c>
      <c r="H77" s="210"/>
    </row>
    <row r="78" spans="2:8" s="121" customFormat="1" ht="15" x14ac:dyDescent="0.3">
      <c r="B78" s="233" t="s">
        <v>200</v>
      </c>
      <c r="D78" s="212">
        <v>8000</v>
      </c>
      <c r="F78" s="212" t="s">
        <v>191</v>
      </c>
      <c r="H78" s="210" t="s">
        <v>201</v>
      </c>
    </row>
    <row r="79" spans="2:8" s="121" customFormat="1" ht="15" x14ac:dyDescent="0.3">
      <c r="B79" s="229" t="str">
        <f>LEFT(B78,SEARCH(",",B78))&amp;" value"</f>
        <v>Bitumen and asphalt (2714), value</v>
      </c>
      <c r="D79" s="237">
        <v>17300000</v>
      </c>
      <c r="F79" s="212" t="s">
        <v>92</v>
      </c>
      <c r="H79" s="210" t="s">
        <v>202</v>
      </c>
    </row>
    <row r="80" spans="2:8" s="121" customFormat="1" ht="15" x14ac:dyDescent="0.3">
      <c r="B80" s="233" t="s">
        <v>194</v>
      </c>
      <c r="D80" s="212"/>
      <c r="F80" s="212" t="s">
        <v>191</v>
      </c>
      <c r="H80" s="210"/>
    </row>
    <row r="81" spans="2:8" s="121" customFormat="1" ht="15" x14ac:dyDescent="0.3">
      <c r="B81" s="230" t="str">
        <f>LEFT(B80,SEARCH(",",B80))&amp;" value"</f>
        <v>Add commodities here, value</v>
      </c>
      <c r="D81" s="215"/>
      <c r="F81" s="215" t="s">
        <v>185</v>
      </c>
      <c r="H81" s="216" t="s">
        <v>203</v>
      </c>
    </row>
    <row r="82" spans="2:8" s="121" customFormat="1" ht="15" x14ac:dyDescent="0.3">
      <c r="B82" s="201"/>
      <c r="D82" s="202"/>
      <c r="F82" s="202"/>
    </row>
    <row r="83" spans="2:8" s="121" customFormat="1" ht="15" x14ac:dyDescent="0.3">
      <c r="B83" s="63" t="s">
        <v>204</v>
      </c>
      <c r="D83" s="227"/>
      <c r="F83" s="239"/>
      <c r="H83" s="207"/>
    </row>
    <row r="84" spans="2:8" s="121" customFormat="1" ht="30" x14ac:dyDescent="0.3">
      <c r="B84" s="228" t="s">
        <v>205</v>
      </c>
      <c r="D84" s="212" t="s">
        <v>79</v>
      </c>
      <c r="F84" s="220" t="s">
        <v>206</v>
      </c>
      <c r="H84" s="210"/>
    </row>
    <row r="85" spans="2:8" s="121" customFormat="1" ht="30" x14ac:dyDescent="0.3">
      <c r="B85" s="64" t="s">
        <v>207</v>
      </c>
      <c r="D85" s="212" t="s">
        <v>79</v>
      </c>
      <c r="F85" s="220" t="s">
        <v>208</v>
      </c>
      <c r="H85" s="210"/>
    </row>
    <row r="86" spans="2:8" s="121" customFormat="1" ht="30" x14ac:dyDescent="0.3">
      <c r="B86" s="65" t="s">
        <v>209</v>
      </c>
      <c r="D86" s="66">
        <f>'Part 5 - Company data'!J283/'Part 4 - Government revenues'!J68</f>
        <v>0.99999999929183281</v>
      </c>
      <c r="F86" s="240" t="s">
        <v>210</v>
      </c>
      <c r="H86" s="216"/>
    </row>
    <row r="87" spans="2:8" s="121" customFormat="1" ht="15" x14ac:dyDescent="0.3">
      <c r="B87" s="201"/>
      <c r="D87" s="202"/>
      <c r="F87" s="202"/>
    </row>
    <row r="88" spans="2:8" s="121" customFormat="1" ht="15" x14ac:dyDescent="0.3">
      <c r="B88" s="63" t="s">
        <v>211</v>
      </c>
      <c r="D88" s="239"/>
      <c r="F88" s="239"/>
      <c r="H88" s="207"/>
    </row>
    <row r="89" spans="2:8" s="121" customFormat="1" ht="30" x14ac:dyDescent="0.3">
      <c r="B89" s="64" t="s">
        <v>212</v>
      </c>
      <c r="D89" s="212" t="s">
        <v>79</v>
      </c>
      <c r="F89" s="212" t="s">
        <v>213</v>
      </c>
      <c r="H89" s="210"/>
    </row>
    <row r="90" spans="2:8" s="121" customFormat="1" ht="15" x14ac:dyDescent="0.3">
      <c r="B90" s="97" t="s">
        <v>214</v>
      </c>
      <c r="C90" s="241"/>
      <c r="D90" s="206"/>
      <c r="E90" s="241"/>
      <c r="F90" s="206"/>
      <c r="H90" s="210"/>
    </row>
    <row r="91" spans="2:8" s="121" customFormat="1" ht="15" x14ac:dyDescent="0.3">
      <c r="B91" s="233" t="s">
        <v>182</v>
      </c>
      <c r="D91" s="237"/>
      <c r="F91" s="212" t="s">
        <v>215</v>
      </c>
      <c r="H91" s="210" t="s">
        <v>216</v>
      </c>
    </row>
    <row r="92" spans="2:8" s="121" customFormat="1" ht="15" x14ac:dyDescent="0.3">
      <c r="B92" s="233" t="s">
        <v>187</v>
      </c>
      <c r="D92" s="237"/>
      <c r="F92" s="212" t="s">
        <v>217</v>
      </c>
      <c r="H92" s="210" t="s">
        <v>216</v>
      </c>
    </row>
    <row r="93" spans="2:8" s="121" customFormat="1" ht="15" x14ac:dyDescent="0.3">
      <c r="B93" s="242" t="s">
        <v>194</v>
      </c>
      <c r="C93" s="243"/>
      <c r="D93" s="215"/>
      <c r="E93" s="243"/>
      <c r="F93" s="215" t="s">
        <v>191</v>
      </c>
      <c r="H93" s="210"/>
    </row>
    <row r="94" spans="2:8" s="121" customFormat="1" ht="15" x14ac:dyDescent="0.3">
      <c r="B94" s="97" t="s">
        <v>218</v>
      </c>
      <c r="C94" s="241"/>
      <c r="D94" s="206"/>
      <c r="E94" s="241"/>
      <c r="F94" s="206"/>
      <c r="H94" s="210"/>
    </row>
    <row r="95" spans="2:8" s="121" customFormat="1" ht="15" x14ac:dyDescent="0.3">
      <c r="B95" s="233" t="s">
        <v>182</v>
      </c>
      <c r="D95" s="237">
        <v>87950.331999999995</v>
      </c>
      <c r="F95" s="212" t="s">
        <v>183</v>
      </c>
      <c r="H95" s="210"/>
    </row>
    <row r="96" spans="2:8" s="121" customFormat="1" ht="15" x14ac:dyDescent="0.3">
      <c r="B96" s="229" t="str">
        <f>LEFT(B95,SEARCH(",",B95))&amp;" value"</f>
        <v>Crude oil (2709), value</v>
      </c>
      <c r="D96" s="237">
        <v>238548090</v>
      </c>
      <c r="F96" s="212" t="s">
        <v>185</v>
      </c>
      <c r="H96" s="210" t="s">
        <v>219</v>
      </c>
    </row>
    <row r="97" spans="2:8" s="121" customFormat="1" ht="15" x14ac:dyDescent="0.3">
      <c r="B97" s="233" t="s">
        <v>187</v>
      </c>
      <c r="D97" s="237">
        <v>2049007.0194000001</v>
      </c>
      <c r="F97" s="212" t="s">
        <v>2165</v>
      </c>
      <c r="H97" s="210"/>
    </row>
    <row r="98" spans="2:8" s="121" customFormat="1" ht="30" x14ac:dyDescent="0.3">
      <c r="B98" s="229" t="str">
        <f>LEFT(B97,SEARCH(",",B97))&amp;" value"</f>
        <v>Natural gas (2711), value</v>
      </c>
      <c r="D98" s="237">
        <v>238548090</v>
      </c>
      <c r="F98" s="212" t="s">
        <v>185</v>
      </c>
      <c r="H98" s="213" t="s">
        <v>220</v>
      </c>
    </row>
    <row r="99" spans="2:8" s="121" customFormat="1" ht="15" x14ac:dyDescent="0.3">
      <c r="B99" s="201"/>
      <c r="F99" s="244"/>
    </row>
    <row r="100" spans="2:8" s="121" customFormat="1" ht="16.05" customHeight="1" x14ac:dyDescent="0.3">
      <c r="B100" s="63" t="s">
        <v>221</v>
      </c>
      <c r="D100" s="239"/>
      <c r="F100" s="239"/>
      <c r="H100" s="207"/>
    </row>
    <row r="101" spans="2:8" s="121" customFormat="1" ht="30" x14ac:dyDescent="0.3">
      <c r="B101" s="64" t="s">
        <v>222</v>
      </c>
      <c r="D101" s="212" t="s">
        <v>106</v>
      </c>
      <c r="F101" s="212" t="s">
        <v>223</v>
      </c>
      <c r="H101" s="210"/>
    </row>
    <row r="102" spans="2:8" s="121" customFormat="1" ht="30.75" customHeight="1" x14ac:dyDescent="0.3">
      <c r="B102" s="68" t="s">
        <v>224</v>
      </c>
      <c r="D102" s="215"/>
      <c r="F102" s="215" t="s">
        <v>185</v>
      </c>
      <c r="H102" s="216"/>
    </row>
    <row r="103" spans="2:8" s="121" customFormat="1" ht="15" x14ac:dyDescent="0.3">
      <c r="B103" s="201"/>
      <c r="D103" s="202"/>
      <c r="F103" s="244"/>
    </row>
    <row r="104" spans="2:8" s="121" customFormat="1" ht="15" x14ac:dyDescent="0.3">
      <c r="B104" s="63" t="s">
        <v>225</v>
      </c>
      <c r="D104" s="239"/>
      <c r="F104" s="239"/>
      <c r="H104" s="207"/>
    </row>
    <row r="105" spans="2:8" s="121" customFormat="1" ht="30" x14ac:dyDescent="0.3">
      <c r="B105" s="64" t="s">
        <v>226</v>
      </c>
      <c r="D105" s="212" t="s">
        <v>79</v>
      </c>
      <c r="F105" s="212" t="s">
        <v>227</v>
      </c>
      <c r="H105" s="210"/>
    </row>
    <row r="106" spans="2:8" s="121" customFormat="1" ht="30.75" customHeight="1" x14ac:dyDescent="0.3">
      <c r="B106" s="68" t="s">
        <v>228</v>
      </c>
      <c r="D106" s="245">
        <v>40061673</v>
      </c>
      <c r="F106" s="215" t="s">
        <v>185</v>
      </c>
      <c r="H106" s="216"/>
    </row>
    <row r="107" spans="2:8" s="121" customFormat="1" ht="15" x14ac:dyDescent="0.3">
      <c r="B107" s="201"/>
      <c r="D107" s="202"/>
      <c r="F107" s="244"/>
    </row>
    <row r="108" spans="2:8" s="121" customFormat="1" ht="15" x14ac:dyDescent="0.3">
      <c r="B108" s="63" t="s">
        <v>229</v>
      </c>
      <c r="D108" s="239"/>
      <c r="F108" s="239"/>
      <c r="H108" s="207"/>
    </row>
    <row r="109" spans="2:8" s="121" customFormat="1" ht="30" x14ac:dyDescent="0.3">
      <c r="B109" s="64" t="s">
        <v>230</v>
      </c>
      <c r="D109" s="212" t="s">
        <v>79</v>
      </c>
      <c r="F109" s="212" t="s">
        <v>231</v>
      </c>
      <c r="H109" s="210"/>
    </row>
    <row r="110" spans="2:8" s="121" customFormat="1" ht="15" x14ac:dyDescent="0.3">
      <c r="B110" s="68" t="s">
        <v>232</v>
      </c>
      <c r="D110" s="215"/>
      <c r="F110" s="215" t="s">
        <v>185</v>
      </c>
      <c r="H110" s="216" t="s">
        <v>233</v>
      </c>
    </row>
    <row r="111" spans="2:8" s="121" customFormat="1" ht="15" x14ac:dyDescent="0.3">
      <c r="B111" s="201"/>
      <c r="D111" s="202"/>
      <c r="F111" s="244"/>
    </row>
    <row r="112" spans="2:8" s="121" customFormat="1" ht="15" x14ac:dyDescent="0.3">
      <c r="B112" s="63" t="s">
        <v>234</v>
      </c>
      <c r="D112" s="239"/>
      <c r="F112" s="239"/>
      <c r="H112" s="207"/>
    </row>
    <row r="113" spans="2:8" s="121" customFormat="1" ht="30" x14ac:dyDescent="0.3">
      <c r="B113" s="64" t="str">
        <f>"Does the government disclose information on"&amp;RIGHT(B112,LEN(B112)-SEARCH(":",B112,1))&amp;"?"</f>
        <v>Does the government disclose information on Direct subnational payments?</v>
      </c>
      <c r="D113" s="212" t="s">
        <v>106</v>
      </c>
      <c r="F113" s="212" t="s">
        <v>235</v>
      </c>
      <c r="H113" s="210"/>
    </row>
    <row r="114" spans="2:8" s="121" customFormat="1" ht="15" x14ac:dyDescent="0.3">
      <c r="B114" s="68" t="s">
        <v>236</v>
      </c>
      <c r="D114" s="215"/>
      <c r="F114" s="215" t="s">
        <v>185</v>
      </c>
      <c r="H114" s="216"/>
    </row>
    <row r="115" spans="2:8" s="121" customFormat="1" ht="15" x14ac:dyDescent="0.3">
      <c r="B115" s="201"/>
      <c r="D115" s="202"/>
      <c r="F115" s="244"/>
    </row>
    <row r="116" spans="2:8" s="121" customFormat="1" ht="15" x14ac:dyDescent="0.3">
      <c r="B116" s="63" t="s">
        <v>237</v>
      </c>
      <c r="D116" s="239"/>
      <c r="F116" s="244"/>
      <c r="H116" s="207"/>
    </row>
    <row r="117" spans="2:8" s="121" customFormat="1" ht="30" x14ac:dyDescent="0.3">
      <c r="B117" s="65" t="s">
        <v>238</v>
      </c>
      <c r="D117" s="246">
        <f>IFERROR(IF(_xlfn.DAYS('Part 1 - About'!$E$24,'Part 1 - About'!$E$20)/365&gt;0,_xlfn.DAYS('Part 1 - About'!$E$24,'Part 1 - About'!$E$20)/365,_xlfn.DAYS('Part 1 - About'!$E$27,'Part 1 - About'!$E$20)/365),"Automatically completed using the 1. About sheet")</f>
        <v>1.8958904109589041</v>
      </c>
      <c r="F117" s="244"/>
      <c r="H117" s="216"/>
    </row>
    <row r="118" spans="2:8" s="121" customFormat="1" ht="15" x14ac:dyDescent="0.3">
      <c r="B118" s="201"/>
      <c r="D118" s="202"/>
      <c r="F118" s="244"/>
    </row>
    <row r="119" spans="2:8" s="121" customFormat="1" ht="15" x14ac:dyDescent="0.3">
      <c r="B119" s="63" t="s">
        <v>239</v>
      </c>
      <c r="D119" s="239"/>
      <c r="F119" s="239"/>
      <c r="H119" s="207"/>
    </row>
    <row r="120" spans="2:8" s="121" customFormat="1" ht="45" x14ac:dyDescent="0.3">
      <c r="B120" s="228" t="s">
        <v>240</v>
      </c>
      <c r="D120" s="212" t="s">
        <v>79</v>
      </c>
      <c r="F120" s="220" t="s">
        <v>241</v>
      </c>
      <c r="H120" s="210"/>
    </row>
    <row r="121" spans="2:8" s="121" customFormat="1" ht="30" x14ac:dyDescent="0.3">
      <c r="B121" s="229" t="s">
        <v>242</v>
      </c>
      <c r="D121" s="212" t="s">
        <v>79</v>
      </c>
      <c r="F121" s="220" t="s">
        <v>241</v>
      </c>
      <c r="H121" s="210"/>
    </row>
    <row r="122" spans="2:8" s="121" customFormat="1" ht="15" x14ac:dyDescent="0.3">
      <c r="B122" s="208" t="s">
        <v>243</v>
      </c>
      <c r="D122" s="212" t="s">
        <v>79</v>
      </c>
      <c r="F122" s="220" t="s">
        <v>241</v>
      </c>
      <c r="H122" s="210"/>
    </row>
    <row r="123" spans="2:8" s="121" customFormat="1" ht="15" x14ac:dyDescent="0.3">
      <c r="B123" s="211" t="s">
        <v>244</v>
      </c>
      <c r="D123" s="212" t="s">
        <v>79</v>
      </c>
      <c r="F123" s="220" t="s">
        <v>241</v>
      </c>
      <c r="H123" s="210"/>
    </row>
    <row r="124" spans="2:8" s="121" customFormat="1" ht="15" x14ac:dyDescent="0.3">
      <c r="B124" s="208" t="s">
        <v>245</v>
      </c>
      <c r="D124" s="212" t="s">
        <v>79</v>
      </c>
      <c r="F124" s="220" t="s">
        <v>241</v>
      </c>
      <c r="H124" s="210"/>
    </row>
    <row r="125" spans="2:8" s="121" customFormat="1" ht="15" x14ac:dyDescent="0.3">
      <c r="B125" s="214" t="s">
        <v>246</v>
      </c>
      <c r="D125" s="215" t="s">
        <v>79</v>
      </c>
      <c r="F125" s="220" t="s">
        <v>241</v>
      </c>
      <c r="H125" s="216"/>
    </row>
    <row r="126" spans="2:8" s="121" customFormat="1" ht="15" x14ac:dyDescent="0.3">
      <c r="B126" s="201"/>
      <c r="D126" s="202"/>
      <c r="F126" s="244"/>
    </row>
    <row r="127" spans="2:8" s="121" customFormat="1" ht="30" x14ac:dyDescent="0.3">
      <c r="B127" s="63" t="s">
        <v>247</v>
      </c>
      <c r="D127" s="239"/>
      <c r="F127" s="239"/>
      <c r="H127" s="207"/>
    </row>
    <row r="128" spans="2:8" s="121" customFormat="1" ht="45" x14ac:dyDescent="0.3">
      <c r="B128" s="64" t="s">
        <v>248</v>
      </c>
      <c r="D128" s="212" t="s">
        <v>79</v>
      </c>
      <c r="F128" s="212" t="s">
        <v>249</v>
      </c>
      <c r="H128" s="210"/>
    </row>
    <row r="129" spans="2:8" s="121" customFormat="1" ht="30" x14ac:dyDescent="0.3">
      <c r="B129" s="68" t="s">
        <v>250</v>
      </c>
      <c r="D129" s="215"/>
      <c r="F129" s="247"/>
      <c r="H129" s="216"/>
    </row>
    <row r="130" spans="2:8" s="121" customFormat="1" ht="15" x14ac:dyDescent="0.3">
      <c r="B130" s="201"/>
      <c r="D130" s="202"/>
      <c r="F130" s="244"/>
    </row>
    <row r="131" spans="2:8" s="121" customFormat="1" ht="15" x14ac:dyDescent="0.3">
      <c r="B131" s="63" t="s">
        <v>251</v>
      </c>
      <c r="D131" s="239"/>
      <c r="F131" s="239"/>
      <c r="H131" s="207"/>
    </row>
    <row r="132" spans="2:8" s="121" customFormat="1" ht="30" x14ac:dyDescent="0.3">
      <c r="B132" s="64" t="s">
        <v>252</v>
      </c>
      <c r="D132" s="212" t="s">
        <v>106</v>
      </c>
      <c r="F132" s="212" t="s">
        <v>253</v>
      </c>
      <c r="H132" s="210"/>
    </row>
    <row r="133" spans="2:8" s="121" customFormat="1" ht="30" x14ac:dyDescent="0.3">
      <c r="B133" s="67" t="s">
        <v>254</v>
      </c>
      <c r="D133" s="212"/>
      <c r="F133" s="212" t="s">
        <v>185</v>
      </c>
      <c r="H133" s="210"/>
    </row>
    <row r="134" spans="2:8" s="121" customFormat="1" ht="30" x14ac:dyDescent="0.3">
      <c r="B134" s="68" t="s">
        <v>255</v>
      </c>
      <c r="D134" s="215"/>
      <c r="F134" s="215" t="s">
        <v>185</v>
      </c>
      <c r="H134" s="216"/>
    </row>
    <row r="135" spans="2:8" s="121" customFormat="1" ht="15" x14ac:dyDescent="0.3">
      <c r="B135" s="201"/>
      <c r="D135" s="202"/>
      <c r="F135" s="244"/>
    </row>
    <row r="136" spans="2:8" s="121" customFormat="1" ht="30" x14ac:dyDescent="0.3">
      <c r="B136" s="63" t="s">
        <v>256</v>
      </c>
      <c r="D136" s="239"/>
      <c r="F136" s="239"/>
      <c r="H136" s="207"/>
    </row>
    <row r="137" spans="2:8" s="121" customFormat="1" ht="45" x14ac:dyDescent="0.3">
      <c r="B137" s="64" t="s">
        <v>257</v>
      </c>
      <c r="D137" s="212" t="s">
        <v>106</v>
      </c>
      <c r="F137" s="212" t="s">
        <v>258</v>
      </c>
      <c r="H137" s="210"/>
    </row>
    <row r="138" spans="2:8" s="121" customFormat="1" ht="30" x14ac:dyDescent="0.3">
      <c r="B138" s="64" t="s">
        <v>259</v>
      </c>
      <c r="D138" s="212" t="s">
        <v>131</v>
      </c>
      <c r="F138" s="212" t="s">
        <v>260</v>
      </c>
      <c r="H138" s="210"/>
    </row>
    <row r="139" spans="2:8" s="121" customFormat="1" ht="45" x14ac:dyDescent="0.3">
      <c r="B139" s="65" t="s">
        <v>261</v>
      </c>
      <c r="D139" s="215" t="s">
        <v>131</v>
      </c>
      <c r="F139" s="212" t="s">
        <v>262</v>
      </c>
      <c r="H139" s="216"/>
    </row>
    <row r="140" spans="2:8" s="121" customFormat="1" ht="15" x14ac:dyDescent="0.3">
      <c r="B140" s="201"/>
      <c r="D140" s="202"/>
      <c r="F140" s="244"/>
    </row>
    <row r="141" spans="2:8" s="121" customFormat="1" ht="15" x14ac:dyDescent="0.3">
      <c r="B141" s="63" t="s">
        <v>263</v>
      </c>
      <c r="D141" s="239"/>
      <c r="F141" s="239"/>
      <c r="H141" s="207"/>
    </row>
    <row r="142" spans="2:8" s="121" customFormat="1" ht="30" x14ac:dyDescent="0.3">
      <c r="B142" s="64" t="s">
        <v>264</v>
      </c>
      <c r="D142" s="212" t="s">
        <v>79</v>
      </c>
      <c r="F142" s="248" t="s">
        <v>265</v>
      </c>
      <c r="H142" s="210"/>
    </row>
    <row r="143" spans="2:8" s="121" customFormat="1" ht="30" x14ac:dyDescent="0.3">
      <c r="B143" s="67" t="s">
        <v>266</v>
      </c>
      <c r="D143" s="212"/>
      <c r="F143" s="212" t="s">
        <v>185</v>
      </c>
      <c r="H143" s="210" t="s">
        <v>267</v>
      </c>
    </row>
    <row r="144" spans="2:8" s="121" customFormat="1" ht="30" x14ac:dyDescent="0.3">
      <c r="B144" s="67" t="s">
        <v>268</v>
      </c>
      <c r="D144" s="237"/>
      <c r="E144" s="217"/>
      <c r="F144" s="212" t="s">
        <v>92</v>
      </c>
      <c r="H144" s="210"/>
    </row>
    <row r="145" spans="2:8" s="121" customFormat="1" ht="15" x14ac:dyDescent="0.3">
      <c r="B145" s="64" t="s">
        <v>269</v>
      </c>
      <c r="D145" s="212" t="s">
        <v>79</v>
      </c>
      <c r="F145" s="248" t="s">
        <v>270</v>
      </c>
      <c r="H145" s="210"/>
    </row>
    <row r="146" spans="2:8" s="121" customFormat="1" ht="30" x14ac:dyDescent="0.3">
      <c r="B146" s="67" t="s">
        <v>271</v>
      </c>
      <c r="D146" s="212"/>
      <c r="F146" s="212" t="s">
        <v>185</v>
      </c>
      <c r="H146" s="210"/>
    </row>
    <row r="147" spans="2:8" s="121" customFormat="1" ht="30" x14ac:dyDescent="0.3">
      <c r="B147" s="67" t="s">
        <v>272</v>
      </c>
      <c r="D147" s="237">
        <v>27729924</v>
      </c>
      <c r="F147" s="212" t="s">
        <v>92</v>
      </c>
      <c r="H147" s="210"/>
    </row>
    <row r="148" spans="2:8" s="121" customFormat="1" ht="30" x14ac:dyDescent="0.3">
      <c r="B148" s="64" t="s">
        <v>273</v>
      </c>
      <c r="D148" s="212" t="s">
        <v>79</v>
      </c>
      <c r="F148" s="212"/>
      <c r="H148" s="210"/>
    </row>
    <row r="149" spans="2:8" s="121" customFormat="1" ht="30" x14ac:dyDescent="0.3">
      <c r="B149" s="67" t="s">
        <v>274</v>
      </c>
      <c r="D149" s="237">
        <v>908526969.60000002</v>
      </c>
      <c r="F149" s="212" t="s">
        <v>92</v>
      </c>
      <c r="H149" s="210" t="s">
        <v>275</v>
      </c>
    </row>
    <row r="150" spans="2:8" s="121" customFormat="1" ht="30" x14ac:dyDescent="0.3">
      <c r="B150" s="68" t="s">
        <v>276</v>
      </c>
      <c r="D150" s="212"/>
      <c r="F150" s="212" t="s">
        <v>185</v>
      </c>
      <c r="H150" s="216"/>
    </row>
    <row r="151" spans="2:8" s="121" customFormat="1" ht="15" x14ac:dyDescent="0.3">
      <c r="B151" s="201"/>
      <c r="D151" s="202"/>
      <c r="F151" s="244"/>
    </row>
    <row r="152" spans="2:8" s="121" customFormat="1" ht="15" x14ac:dyDescent="0.3">
      <c r="B152" s="63" t="s">
        <v>277</v>
      </c>
      <c r="D152" s="239"/>
      <c r="F152" s="239"/>
      <c r="H152" s="207"/>
    </row>
    <row r="153" spans="2:8" s="121" customFormat="1" ht="30" x14ac:dyDescent="0.3">
      <c r="B153" s="64" t="s">
        <v>278</v>
      </c>
      <c r="D153" s="212" t="s">
        <v>107</v>
      </c>
      <c r="F153" s="212"/>
      <c r="H153" s="210"/>
    </row>
    <row r="154" spans="2:8" s="121" customFormat="1" ht="30" x14ac:dyDescent="0.3">
      <c r="B154" s="68" t="s">
        <v>279</v>
      </c>
      <c r="D154" s="215"/>
      <c r="F154" s="215" t="s">
        <v>185</v>
      </c>
      <c r="H154" s="216"/>
    </row>
    <row r="155" spans="2:8" s="121" customFormat="1" ht="15" x14ac:dyDescent="0.3">
      <c r="B155" s="201"/>
      <c r="D155" s="202"/>
      <c r="F155" s="244"/>
    </row>
    <row r="156" spans="2:8" s="121" customFormat="1" ht="15" x14ac:dyDescent="0.3">
      <c r="B156" s="63" t="s">
        <v>280</v>
      </c>
      <c r="D156" s="249"/>
      <c r="F156" s="250"/>
      <c r="H156" s="207"/>
    </row>
    <row r="157" spans="2:8" s="121" customFormat="1" ht="30" x14ac:dyDescent="0.3">
      <c r="B157" s="69" t="s">
        <v>281</v>
      </c>
      <c r="D157" s="212" t="s">
        <v>131</v>
      </c>
      <c r="F157" s="212" t="s">
        <v>282</v>
      </c>
      <c r="H157" s="210"/>
    </row>
    <row r="158" spans="2:8" s="121" customFormat="1" ht="30" x14ac:dyDescent="0.3">
      <c r="B158" s="64" t="s">
        <v>283</v>
      </c>
      <c r="D158" s="237">
        <v>3768629518</v>
      </c>
      <c r="F158" s="212" t="s">
        <v>185</v>
      </c>
      <c r="H158" s="210" t="s">
        <v>284</v>
      </c>
    </row>
    <row r="159" spans="2:8" s="121" customFormat="1" ht="15" x14ac:dyDescent="0.3">
      <c r="B159" s="228" t="s">
        <v>285</v>
      </c>
      <c r="D159" s="212"/>
      <c r="F159" s="212" t="s">
        <v>185</v>
      </c>
      <c r="H159" s="210" t="s">
        <v>286</v>
      </c>
    </row>
    <row r="160" spans="2:8" s="121" customFormat="1" ht="15" x14ac:dyDescent="0.3">
      <c r="B160" s="208" t="s">
        <v>287</v>
      </c>
      <c r="D160" s="237">
        <v>21566837349</v>
      </c>
      <c r="F160" s="212" t="s">
        <v>185</v>
      </c>
      <c r="H160" s="210" t="s">
        <v>288</v>
      </c>
    </row>
    <row r="161" spans="1:8" s="121" customFormat="1" ht="15" x14ac:dyDescent="0.3">
      <c r="B161" s="208" t="s">
        <v>289</v>
      </c>
      <c r="D161" s="237">
        <v>1003543714</v>
      </c>
      <c r="F161" s="212" t="s">
        <v>185</v>
      </c>
      <c r="H161" s="210" t="s">
        <v>290</v>
      </c>
    </row>
    <row r="162" spans="1:8" s="121" customFormat="1" ht="15" x14ac:dyDescent="0.3">
      <c r="B162" s="208" t="s">
        <v>291</v>
      </c>
      <c r="D162" s="237">
        <v>5176054216</v>
      </c>
      <c r="F162" s="212" t="s">
        <v>185</v>
      </c>
      <c r="H162" s="210" t="s">
        <v>292</v>
      </c>
    </row>
    <row r="163" spans="1:8" s="121" customFormat="1" ht="15" x14ac:dyDescent="0.3">
      <c r="B163" s="208" t="s">
        <v>293</v>
      </c>
      <c r="D163" s="212"/>
      <c r="F163" s="212" t="s">
        <v>185</v>
      </c>
      <c r="H163" s="210" t="s">
        <v>193</v>
      </c>
    </row>
    <row r="164" spans="1:8" s="121" customFormat="1" ht="15" x14ac:dyDescent="0.3">
      <c r="B164" s="208" t="s">
        <v>294</v>
      </c>
      <c r="D164" s="212"/>
      <c r="F164" s="212" t="s">
        <v>185</v>
      </c>
      <c r="H164" s="210" t="s">
        <v>193</v>
      </c>
    </row>
    <row r="165" spans="1:8" s="121" customFormat="1" ht="15" x14ac:dyDescent="0.3">
      <c r="B165" s="208" t="s">
        <v>295</v>
      </c>
      <c r="D165" s="212">
        <v>11760</v>
      </c>
      <c r="F165" s="212" t="s">
        <v>296</v>
      </c>
      <c r="H165" s="210" t="s">
        <v>297</v>
      </c>
    </row>
    <row r="166" spans="1:8" s="121" customFormat="1" ht="15" x14ac:dyDescent="0.3">
      <c r="B166" s="208" t="s">
        <v>298</v>
      </c>
      <c r="D166" s="237">
        <v>2940</v>
      </c>
      <c r="F166" s="212" t="s">
        <v>296</v>
      </c>
      <c r="H166" s="210" t="s">
        <v>297</v>
      </c>
    </row>
    <row r="167" spans="1:8" s="121" customFormat="1" ht="15" x14ac:dyDescent="0.3">
      <c r="B167" s="208" t="s">
        <v>299</v>
      </c>
      <c r="D167" s="237">
        <v>14700</v>
      </c>
      <c r="F167" s="212" t="s">
        <v>296</v>
      </c>
      <c r="H167" s="210" t="s">
        <v>297</v>
      </c>
    </row>
    <row r="168" spans="1:8" s="121" customFormat="1" ht="15" x14ac:dyDescent="0.3">
      <c r="B168" s="208" t="s">
        <v>300</v>
      </c>
      <c r="D168" s="237">
        <v>545900</v>
      </c>
      <c r="F168" s="212" t="s">
        <v>296</v>
      </c>
      <c r="H168" s="210" t="s">
        <v>297</v>
      </c>
    </row>
    <row r="169" spans="1:8" s="121" customFormat="1" ht="15" x14ac:dyDescent="0.3">
      <c r="B169" s="208" t="s">
        <v>301</v>
      </c>
      <c r="D169" s="212"/>
      <c r="F169" s="212" t="s">
        <v>185</v>
      </c>
      <c r="H169" s="210"/>
    </row>
    <row r="170" spans="1:8" s="121" customFormat="1" ht="15" x14ac:dyDescent="0.3">
      <c r="B170" s="226" t="s">
        <v>302</v>
      </c>
      <c r="D170" s="215"/>
      <c r="F170" s="215" t="s">
        <v>185</v>
      </c>
      <c r="H170" s="216"/>
    </row>
    <row r="171" spans="1:8" s="121" customFormat="1" ht="15" x14ac:dyDescent="0.3">
      <c r="B171" s="244"/>
      <c r="D171" s="251"/>
      <c r="F171" s="244"/>
    </row>
    <row r="172" spans="1:8" s="121" customFormat="1" ht="15" x14ac:dyDescent="0.3">
      <c r="B172" s="63" t="s">
        <v>303</v>
      </c>
      <c r="D172" s="206"/>
      <c r="F172" s="206"/>
      <c r="H172" s="207"/>
    </row>
    <row r="173" spans="1:8" s="121" customFormat="1" ht="15" x14ac:dyDescent="0.3">
      <c r="B173" s="208" t="s">
        <v>129</v>
      </c>
      <c r="D173" s="209"/>
      <c r="F173" s="209"/>
      <c r="H173" s="210"/>
    </row>
    <row r="174" spans="1:8" s="121" customFormat="1" ht="30" x14ac:dyDescent="0.3">
      <c r="B174" s="229" t="s">
        <v>304</v>
      </c>
      <c r="D174" s="212" t="s">
        <v>131</v>
      </c>
      <c r="F174" s="212" t="s">
        <v>305</v>
      </c>
      <c r="H174" s="210"/>
    </row>
    <row r="175" spans="1:8" s="121" customFormat="1" ht="45" x14ac:dyDescent="0.3">
      <c r="A175" s="217"/>
      <c r="B175" s="252" t="s">
        <v>306</v>
      </c>
      <c r="C175" s="219"/>
      <c r="D175" s="212" t="s">
        <v>107</v>
      </c>
      <c r="F175" s="212"/>
      <c r="H175" s="210"/>
    </row>
    <row r="176" spans="1:8" s="121" customFormat="1" ht="30" x14ac:dyDescent="0.3">
      <c r="B176" s="230" t="s">
        <v>307</v>
      </c>
      <c r="C176" s="219"/>
      <c r="D176" s="215" t="s">
        <v>131</v>
      </c>
      <c r="F176" s="215" t="s">
        <v>308</v>
      </c>
      <c r="H176" s="216"/>
    </row>
    <row r="177" spans="2:8" s="121" customFormat="1" ht="15.6" thickBot="1" x14ac:dyDescent="0.35">
      <c r="B177" s="253"/>
      <c r="C177" s="137"/>
      <c r="D177" s="254"/>
      <c r="E177" s="137"/>
      <c r="F177" s="253"/>
      <c r="G177" s="137"/>
      <c r="H177" s="137"/>
    </row>
    <row r="178" spans="2:8" s="121" customFormat="1" ht="15" x14ac:dyDescent="0.3">
      <c r="B178" s="244"/>
      <c r="D178" s="251"/>
      <c r="F178" s="244"/>
    </row>
    <row r="179" spans="2:8" s="121" customFormat="1" ht="15.6" thickBot="1" x14ac:dyDescent="0.35">
      <c r="B179" s="297" t="s">
        <v>33</v>
      </c>
      <c r="C179" s="298"/>
      <c r="D179" s="298"/>
      <c r="E179" s="298"/>
      <c r="F179" s="298"/>
      <c r="G179" s="298"/>
      <c r="H179" s="298"/>
    </row>
    <row r="180" spans="2:8" s="121" customFormat="1" ht="15" x14ac:dyDescent="0.3">
      <c r="B180" s="299" t="s">
        <v>34</v>
      </c>
      <c r="C180" s="300"/>
      <c r="D180" s="300"/>
      <c r="E180" s="300"/>
      <c r="F180" s="300"/>
      <c r="G180" s="300"/>
      <c r="H180" s="300"/>
    </row>
    <row r="181" spans="2:8" s="121" customFormat="1" ht="15.6" thickBot="1" x14ac:dyDescent="0.35">
      <c r="B181" s="255"/>
      <c r="C181" s="255"/>
      <c r="D181" s="255"/>
      <c r="E181" s="255"/>
      <c r="F181" s="255"/>
      <c r="G181" s="255"/>
      <c r="H181" s="255"/>
    </row>
    <row r="182" spans="2:8" s="121" customFormat="1" ht="15" x14ac:dyDescent="0.3">
      <c r="B182" s="293" t="s">
        <v>35</v>
      </c>
      <c r="C182" s="293"/>
      <c r="D182" s="293"/>
      <c r="E182" s="293"/>
      <c r="F182" s="293"/>
      <c r="G182" s="293"/>
      <c r="H182" s="293"/>
    </row>
    <row r="183" spans="2:8" s="121" customFormat="1" ht="15.75" customHeight="1" x14ac:dyDescent="0.3">
      <c r="B183" s="283" t="s">
        <v>36</v>
      </c>
      <c r="C183" s="283"/>
      <c r="D183" s="283"/>
      <c r="E183" s="283"/>
      <c r="F183" s="283"/>
      <c r="G183" s="283"/>
      <c r="H183" s="283"/>
    </row>
    <row r="184" spans="2:8" s="121" customFormat="1" ht="15" x14ac:dyDescent="0.3">
      <c r="B184" s="293" t="s">
        <v>38</v>
      </c>
      <c r="C184" s="293"/>
      <c r="D184" s="293"/>
      <c r="E184" s="293"/>
      <c r="F184" s="293"/>
      <c r="G184" s="293"/>
      <c r="H184" s="293"/>
    </row>
    <row r="185" spans="2:8" s="121" customFormat="1" ht="15" x14ac:dyDescent="0.3">
      <c r="B185" s="244"/>
      <c r="D185" s="251"/>
      <c r="F185" s="244"/>
    </row>
    <row r="186" spans="2:8" s="121" customFormat="1" ht="15" x14ac:dyDescent="0.3">
      <c r="B186" s="244"/>
      <c r="D186" s="251"/>
      <c r="F186" s="244"/>
    </row>
    <row r="187" spans="2:8" s="121" customFormat="1" ht="15" x14ac:dyDescent="0.3">
      <c r="B187" s="244"/>
      <c r="D187" s="251"/>
      <c r="F187" s="244"/>
    </row>
    <row r="188" spans="2:8" s="121" customFormat="1" ht="15" x14ac:dyDescent="0.3"/>
    <row r="189" spans="2:8" ht="16.2" x14ac:dyDescent="0.3"/>
    <row r="190" spans="2:8" ht="16.2" x14ac:dyDescent="0.3"/>
    <row r="191" spans="2:8" ht="16.2" x14ac:dyDescent="0.3"/>
    <row r="192" spans="2:8" ht="16.2" x14ac:dyDescent="0.3"/>
    <row r="193" ht="16.2" x14ac:dyDescent="0.3"/>
    <row r="194" ht="16.2" x14ac:dyDescent="0.3"/>
    <row r="195" ht="16.2" x14ac:dyDescent="0.3"/>
    <row r="196" ht="16.2" x14ac:dyDescent="0.3"/>
    <row r="197" ht="16.2" x14ac:dyDescent="0.3"/>
    <row r="198" ht="16.2" x14ac:dyDescent="0.3"/>
    <row r="199" ht="16.2" x14ac:dyDescent="0.3"/>
    <row r="200" ht="16.2" x14ac:dyDescent="0.3"/>
    <row r="201" ht="16.2" x14ac:dyDescent="0.3"/>
    <row r="202" ht="16.2" x14ac:dyDescent="0.3"/>
    <row r="203" ht="16.2" x14ac:dyDescent="0.3"/>
    <row r="204" ht="16.2" x14ac:dyDescent="0.3"/>
    <row r="205" ht="16.2" x14ac:dyDescent="0.3"/>
    <row r="206" ht="16.2" x14ac:dyDescent="0.3"/>
    <row r="207" ht="16.2" x14ac:dyDescent="0.3"/>
    <row r="208" ht="16.2" x14ac:dyDescent="0.3"/>
    <row r="209" ht="16.2" x14ac:dyDescent="0.3"/>
  </sheetData>
  <mergeCells count="12">
    <mergeCell ref="B184:H184"/>
    <mergeCell ref="B3:H3"/>
    <mergeCell ref="B4:H4"/>
    <mergeCell ref="B5:H5"/>
    <mergeCell ref="B6:H6"/>
    <mergeCell ref="B7:H7"/>
    <mergeCell ref="B8:H8"/>
    <mergeCell ref="B9:H9"/>
    <mergeCell ref="B179:H179"/>
    <mergeCell ref="B180:H180"/>
    <mergeCell ref="B182:H182"/>
    <mergeCell ref="B183:H183"/>
  </mergeCells>
  <dataValidations count="31">
    <dataValidation type="whole" showInputMessage="1" showErrorMessage="1" errorTitle="Do not edit these cells" error="Please do not edit these cells" sqref="B2:H9" xr:uid="{5F7AFE79-539F-7A4B-8AAE-FC9A1C6482C9}">
      <formula1>999999</formula1>
      <formula2>99999999</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66F76A98-3DB1-6B4E-9682-5211052BF2E0}">
      <formula1>0</formula1>
    </dataValidation>
    <dataValidation type="textLength" allowBlank="1" showInputMessage="1" showErrorMessage="1" sqref="H17:H22 H24:H31 H33:H36 H38:H43 H45:H48 H50:H53 H55:H56 H88:H98 H172:H176 H83:H86 H100:H102 H104:H106 H108:H110 H112:H114 H116:H117 H119:H125 H127:H129 H131:H134 H136:H139 H141:H150 H152:H154 H71 H58:H61 H156:H170 H63:H69 H73:H81" xr:uid="{FC49EEA9-B49C-134A-9FAF-924C87C075F3}">
      <formula1>0</formula1>
      <formula2>350</formula2>
    </dataValidation>
    <dataValidation showInputMessage="1" showErrorMessage="1" sqref="B58:B59" xr:uid="{05257F3D-4A17-DF46-BCF3-8A651C1B4BA0}"/>
    <dataValidation type="whole" showInputMessage="1" showErrorMessage="1" sqref="A67:C67 B60:B61 A65:C65 A68:A73 A66 F140:F141 B151:C151 D151:D152 F151:F152 B155:C155 D155:D156 F23:F25 D23:D25 F32:F33 D32:D33 F37:F38 D37:D38 F44:F45 D44:D45 F49:F50 D49:D50 F54:F55 D54:D55 B63 D70:D71 F70:F71 B82:C82 D82:D83 F82:F83 B87:C87 F86:F88 B90:G90 B94:G94 F155:F156 B81 B99:C99 D99:D100 F99:F100 B103:C103 D103:D104 F103:F104 B107:C107 D107:D108 F107:F108 B111:C111 D111:D112 F111:F112 B115:C115 B118:C118 B126:C126 D126:D127 F126:F127 B130:C130 D130:D131 F130:F131 B135:C135 D135:D136 F135:F136 B140:C140 D140:D141 C66 C83:C86 C88:C89 H103 C100:C102 C104:C106 C108:C110 C112:C114 C116:C117 C119:C125 C127:C129 C131:C134 C136:C139 C141:C150 C152:C154 D17:D18 F17:F18 D87:D88 F115:F119 C95:C98 H130 H126 H118 H115 H111 H107 H82 H87 E91:E93 G91:G93 H99 C91:C93 I1:I16 H23 H70 F57:F59 D57:D59 C12:H16 A1:A64 C17:C64 B69:B73 B75 B77 B79 H155 H151 H140 H135 H57 H54 H49 H44 H37 H32 A172:A176 C172:C176 F171:F172 D171:D172 C156:C170 B171:C171 H171 B89 D115:D116 D118:D119 B10:H10 B11:F11 B12:B57 B1:H1 B98 B96 G17:G89 E17:E89 C68:C81 E95:E176 G95:G176" xr:uid="{33E94A39-AA4E-B744-A13C-0794A7B0B0FC}">
      <formula1>999999</formula1>
      <formula2>99999999</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65" xr:uid="{48C4DABA-2EBC-6E4D-B469-31DD9BD7856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66" xr:uid="{24C6579E-CB9B-E647-BEB6-A6D5B0621B20}">
      <formula1>2</formula1>
    </dataValidation>
    <dataValidation type="whole" allowBlank="1" showInputMessage="1" showErrorMessage="1" errorTitle="Do not edit these cells" error="Please do not edit these cells" sqref="B181" xr:uid="{64C3F498-C786-9A40-B6B7-B6A713C8E28D}">
      <formula1>10000</formula1>
      <formula2>50000</formula2>
    </dataValidation>
    <dataValidation allowBlank="1" showInputMessage="1" showErrorMessage="1" errorTitle="Please do not edit these cells" error="Please do not edit these cells" sqref="B148:B150" xr:uid="{7888641B-E68D-6248-9EFA-4109C4BD69F9}"/>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65:F168" xr:uid="{A44F7CC6-B89C-104E-B465-99C76C89D307}">
      <formula1>0</formula1>
    </dataValidation>
    <dataValidation allowBlank="1" showInputMessage="1" showErrorMessage="1" promptTitle="Additional relevant files" prompt="If several files relevant to the report exist, please indicate as such here. If several, please copy this into several rows." sqref="D48" xr:uid="{4286E9B0-E4DF-8149-B50A-D2CD5D99FB34}"/>
    <dataValidation allowBlank="1" showInputMessage="1" showErrorMessage="1" promptTitle="Name of the registry" prompt="Please input the name of the Beneficial Ownership Registry" sqref="D48" xr:uid="{F04D1732-29FC-3840-974A-FE903BC53866}"/>
    <dataValidation type="whole" allowBlank="1" showInputMessage="1" showErrorMessage="1" errorTitle="Please do not edit these cells" error="Please do not edit these cells" sqref="B177:H178 B156:B170" xr:uid="{9A875D2C-B584-9A40-A9F7-2BCC3788F4FE}">
      <formula1>4</formula1>
      <formula2>5</formula2>
    </dataValidation>
    <dataValidation type="whole" allowBlank="1" showInputMessage="1" showErrorMessage="1" errorTitle="Please do not edit these cells" error="Please do not edit these cells" sqref="B141:B147 B120:B125 B127:B129 B131:B134 B136:B139 B152:B154 B172:B176" xr:uid="{5944FE25-F385-3C40-A5F3-FC187376DA13}">
      <formula1>10000</formula1>
      <formula2>50000</formula2>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66 B68 B78 B80 B62 B64 B74 B76 B97 B95 B91:B93" xr:uid="{63EF5C3E-F642-E443-825D-F59FE25DDA4A}">
      <formula1>Commodities_list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70" xr:uid="{70184DEF-6692-4545-82A5-4BB4AEDBF1F2}">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69" xr:uid="{18794153-CCEA-0043-820A-41B5BEC60E6F}">
      <formula1>2</formula1>
    </dataValidation>
    <dataValidation type="list" operator="equal" showInputMessage="1" showErrorMessage="1" errorTitle="Invalid entry" error="Invalid entry" promptTitle="Please input unit" prompt="Please input currency according to 3-letter ISO currency code." sqref="F102 F106 F110 F114 F133:F134 F158:F164 F154 F143:F144 F169:F170 F146:F147 F149:F150" xr:uid="{1F2C694B-0EE1-AF42-B854-4216F176731C}">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68" xr:uid="{C6D9785F-51F4-034C-9EA0-BF6E66867C39}">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67" xr:uid="{448C45E4-60B5-C340-BF82-26027F9D0C4A}">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02 D106 D110 D114 D129 D133:D134 D143:D144 D154 D149:D150 D146:D147" xr:uid="{9DF343CA-20C2-5241-944B-81806DF4BDBA}">
      <formula1>0</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63" xr:uid="{E55E20C8-3E63-E24C-A8F9-17657E3701D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58:D159" xr:uid="{04551EF2-80E2-AC40-AD24-4CBBD3F8497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60" xr:uid="{9C0C5A00-5AE4-2A48-AEC9-638D2A39B144}">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61" xr:uid="{E4329B95-7239-9249-AF1F-14ADD959AC2B}">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62" xr:uid="{95C30F72-EEBF-6543-8F40-35E3033E013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64" xr:uid="{0698820F-719E-1840-942F-4EF7DE03C654}">
      <formula1>2</formula1>
    </dataValidation>
    <dataValidation type="textLength" allowBlank="1" showInputMessage="1" showErrorMessage="1" errorTitle="Please do not edit these cells" error="Please do not edit these cells" sqref="B116:B117 B119 B104:B106 B185:B187 B88 B100:B102 B108:B110 B112:B114 B83:B86 D117" xr:uid="{51F5741D-E240-7C47-B054-580A2AF4C511}">
      <formula1>10000</formula1>
      <formula2>50000</formula2>
    </dataValidation>
    <dataValidation type="list" showInputMessage="1" showErrorMessage="1" promptTitle="Reporting type" prompt="Please indicate which type of reporting, between:_x000a__x000a_Systematic disclosure_x000a_EITI reporting_x000a_Not available_x000a_Not applicable" sqref="D148 D19:D22 D34:D36 D39:D43 D46:D47 D89 D56 D60:D61 D72:D73 D84:D85 D157 D101 D105 D109 D113 D120:D125 D128 D132 D137:D139 D142 D145 D153 D51:D53 D26:D30 D173:D176" xr:uid="{EFB39136-A272-0548-BAE4-57D56DB10C14}">
      <formula1>Reporting_options_list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68 F74 F76 F78 F80 F62 F97 F95 F91:F93" xr:uid="{E504ECE3-7F59-F948-BD04-CAA0E7B8F578}">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91:D93 D95:D98 D62:D69 D74:D81" xr:uid="{E8F58A2B-4150-9640-BB0F-5975381E31F3}">
      <formula1>0</formula1>
    </dataValidation>
  </dataValidations>
  <hyperlinks>
    <hyperlink ref="B17" r:id="rId1" location="r2-1" display="EITI Requirement 2.1" xr:uid="{1CC9651A-4B15-1245-BD64-B77552BB871C}"/>
    <hyperlink ref="B24" r:id="rId2" location="r2-2" display="EITI Requirement 2.2" xr:uid="{918CFD04-4BBF-D845-A3F8-3885E99E7932}"/>
    <hyperlink ref="B38" r:id="rId3" location="r2-4" display="EITI Requirement 2.4" xr:uid="{002A37B9-4324-7F43-9007-4801DFA7C21F}"/>
    <hyperlink ref="B45" r:id="rId4" location="r2-5" display="EITI Requirement 2.5" xr:uid="{21C1C6C1-C5D5-4244-B6E1-7B66100B90E1}"/>
    <hyperlink ref="B50" r:id="rId5" location="r2-6" display="EITI Requirement 2.6" xr:uid="{E51AC811-3D31-E240-BB7E-DC9327735774}"/>
    <hyperlink ref="B55" r:id="rId6" location="r3-1" display="EITI Requirement 3.1" xr:uid="{3B104B8E-CFFB-0848-AFFB-340B3E6FD73E}"/>
    <hyperlink ref="B59" r:id="rId7" xr:uid="{28DCD560-EE8E-C645-8D3B-FA0636336540}"/>
    <hyperlink ref="B71" r:id="rId8" location="r3-3" display="EITI Requirement 3.3" xr:uid="{B722A523-A682-6F4E-92CF-A76B287E4CA4}"/>
    <hyperlink ref="B83" r:id="rId9" location="r4-1" display="EITI Requirement 4.1" xr:uid="{05F27554-D037-8441-BEDB-0B17E866E3F8}"/>
    <hyperlink ref="B88" r:id="rId10" location="r4-2" display="EITI Requirement 4.2" xr:uid="{D28E5B8E-0F8F-414A-9FBA-351783299F7D}"/>
    <hyperlink ref="B100" r:id="rId11" location="r4-3" display="EITI Requirement 4.3" xr:uid="{D37F2926-D8B1-4344-9930-1B4088CBFBFA}"/>
    <hyperlink ref="B104" r:id="rId12" location="r4-4" display="EITI Requirement 4.4" xr:uid="{F67DF756-3F00-794E-B6CD-D9BEC70A4030}"/>
    <hyperlink ref="B108" r:id="rId13" location="r4-5" display="EITI Requirement 4.5" xr:uid="{97D5E8CD-DBE6-FA40-A437-3A2796E4FFA7}"/>
    <hyperlink ref="B112" r:id="rId14" location="r4-6" display="EITI Requirement 4.6" xr:uid="{2BB7302F-5E4E-C343-8A46-6872CDEAEC77}"/>
    <hyperlink ref="B116" r:id="rId15" location="r4-8" display="EITI Requirement 4.8" xr:uid="{31C7E165-C616-E04E-9108-2353537747C7}"/>
    <hyperlink ref="B119" r:id="rId16" location="r4-9" display="EITI Requirement 4.9" xr:uid="{32A604F2-5832-884D-A744-B877BF973EF7}"/>
    <hyperlink ref="B127" r:id="rId17" location="r5-1" display="EITI Requirement 5.1" xr:uid="{B8834A06-473C-844F-8678-1EA8D6BC41B3}"/>
    <hyperlink ref="B131" r:id="rId18" location="r5-2" display="EITI Requirement 5.2" xr:uid="{C6E34604-DBFD-1740-ADFC-CFA99F3B32E3}"/>
    <hyperlink ref="B136" r:id="rId19" location="r5-3" display="EITI Requirement 5.3" xr:uid="{A594AFB8-A3F4-BE41-836B-70E0A420BAAC}"/>
    <hyperlink ref="B152" r:id="rId20" location="r6-2" display="EITI Requirement 6.2" xr:uid="{36112300-A325-814F-94BF-562259CE703B}"/>
    <hyperlink ref="B156" r:id="rId21" location="r6-3" display="EITI Requirement 6.3" xr:uid="{A9C326B5-3D95-6548-A235-D1498BFBCB29}"/>
    <hyperlink ref="B141" r:id="rId22" location="r6-1" display="EITI Requirement 6.1" xr:uid="{EA9C49A2-5929-BC4F-9FC1-B5D8A75A91CA}"/>
    <hyperlink ref="B33" r:id="rId23" location="r2-3" xr:uid="{548AA27A-BCE1-2A4A-90A7-DE07C2D6399B}"/>
    <hyperlink ref="B158" r:id="rId24" xr:uid="{8B5E4D83-FB94-704B-8493-C03496047F41}"/>
    <hyperlink ref="B180:F180" r:id="rId25" display="Give us your feedback or report a conflict in the data! Write to us at  data@eiti.org" xr:uid="{FF91A4F5-A1B7-9B43-9B2B-C0605205090D}"/>
    <hyperlink ref="B179:F179" r:id="rId26" display="For the latest version of Summary data templates, see  https://eiti.org/summary-data-template" xr:uid="{77E53D38-A1C0-4946-853B-2132814CB7F2}"/>
    <hyperlink ref="B58" r:id="rId27" location="r3-2" display="EITI Requirement 3.2" xr:uid="{42B10ECF-A973-8240-B394-89FD84FC00D4}"/>
    <hyperlink ref="B172" r:id="rId28" location="r6-4" xr:uid="{E9EB6154-D8B3-D242-B967-7117D80C8D0A}"/>
    <hyperlink ref="F26" r:id="rId29" display="https://www.energy.gov.tt/wp-content/uploads/2013/12/Guidelines-Flow-Chart-Mining-Licence.pdf_x000a_" xr:uid="{4832B410-FE21-154D-866B-DEA560D0A1A8}"/>
    <hyperlink ref="F56" r:id="rId30" xr:uid="{485067FD-AC86-D447-9F47-62E14897BD84}"/>
    <hyperlink ref="F138" r:id="rId31" xr:uid="{52A036F2-8692-704F-93A8-817CD63EE2DD}"/>
    <hyperlink ref="F139" r:id="rId32" xr:uid="{8486B8AD-4A3B-244B-97F2-83B6D05622AE}"/>
    <hyperlink ref="F157" r:id="rId33" xr:uid="{EC5FFE16-058D-6243-9017-1BB9CAEC90D3}"/>
    <hyperlink ref="F34" r:id="rId34" xr:uid="{7CF003A3-BC8E-0842-A295-E3265B94F6DE}"/>
    <hyperlink ref="F46" r:id="rId35" xr:uid="{B64BD0B1-6D3F-474B-B01A-7C2BA96E0901}"/>
    <hyperlink ref="F60" r:id="rId36" xr:uid="{46002721-3942-8845-B8FF-B3451A99CC28}"/>
    <hyperlink ref="H72" r:id="rId37" xr:uid="{5F644656-9677-5043-A39C-A1D6C14DC129}"/>
    <hyperlink ref="F174" r:id="rId38" xr:uid="{86A6D576-4F74-F24E-8136-E01BD9F00C7C}"/>
    <hyperlink ref="F73" r:id="rId39" xr:uid="{F4124976-F968-453A-820D-4B2BAE5F4182}"/>
  </hyperlinks>
  <pageMargins left="0.25" right="0.25" top="0.75" bottom="0.75" header="0.3" footer="0.3"/>
  <pageSetup paperSize="8" fitToHeight="0" orientation="landscape" horizontalDpi="2400" verticalDpi="2400" r:id="rId4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83"/>
  <sheetViews>
    <sheetView showGridLines="0" topLeftCell="A16" zoomScale="80" zoomScaleNormal="80" workbookViewId="0">
      <selection activeCell="A73" sqref="A73:XFD73"/>
    </sheetView>
  </sheetViews>
  <sheetFormatPr defaultColWidth="4" defaultRowHeight="24" customHeight="1" x14ac:dyDescent="0.3"/>
  <cols>
    <col min="1" max="1" width="4" style="9"/>
    <col min="2" max="2" width="48.77734375" style="9" customWidth="1"/>
    <col min="3" max="3" width="44.44140625" style="9" customWidth="1"/>
    <col min="4" max="4" width="38.77734375" style="9" customWidth="1"/>
    <col min="5" max="5" width="23" style="9" customWidth="1"/>
    <col min="6" max="10" width="26.44140625" style="9" customWidth="1"/>
    <col min="11" max="11" width="4" style="9" customWidth="1"/>
    <col min="12" max="33" width="4" style="9"/>
    <col min="34" max="34" width="12.21875" style="9" bestFit="1" customWidth="1"/>
    <col min="35" max="16384" width="4" style="9"/>
  </cols>
  <sheetData>
    <row r="1" spans="2:12" ht="15" x14ac:dyDescent="0.3">
      <c r="B1" s="101"/>
      <c r="C1" s="101"/>
      <c r="D1" s="101"/>
      <c r="E1" s="101"/>
      <c r="F1" s="101"/>
      <c r="G1" s="101"/>
      <c r="H1" s="101"/>
      <c r="I1" s="101"/>
      <c r="J1" s="101"/>
      <c r="K1" s="101"/>
      <c r="L1" s="101"/>
    </row>
    <row r="2" spans="2:12" ht="15" x14ac:dyDescent="0.3">
      <c r="B2" s="312" t="s">
        <v>309</v>
      </c>
      <c r="C2" s="312"/>
      <c r="D2" s="312"/>
      <c r="E2" s="312"/>
      <c r="F2" s="312"/>
      <c r="G2" s="312"/>
      <c r="H2" s="312"/>
      <c r="I2" s="312"/>
      <c r="J2" s="312"/>
      <c r="K2" s="101"/>
      <c r="L2" s="101"/>
    </row>
    <row r="3" spans="2:12" x14ac:dyDescent="0.3">
      <c r="B3" s="313" t="s">
        <v>40</v>
      </c>
      <c r="C3" s="313"/>
      <c r="D3" s="313"/>
      <c r="E3" s="313"/>
      <c r="F3" s="313"/>
      <c r="G3" s="313"/>
      <c r="H3" s="313"/>
      <c r="I3" s="313"/>
      <c r="J3" s="313"/>
      <c r="K3" s="101"/>
      <c r="L3" s="101"/>
    </row>
    <row r="4" spans="2:12" ht="15" x14ac:dyDescent="0.3">
      <c r="B4" s="303" t="s">
        <v>310</v>
      </c>
      <c r="C4" s="303"/>
      <c r="D4" s="303"/>
      <c r="E4" s="303"/>
      <c r="F4" s="303"/>
      <c r="G4" s="303"/>
      <c r="H4" s="303"/>
      <c r="I4" s="303"/>
      <c r="J4" s="303"/>
      <c r="K4" s="101"/>
      <c r="L4" s="101"/>
    </row>
    <row r="5" spans="2:12" ht="15" x14ac:dyDescent="0.3">
      <c r="B5" s="303" t="s">
        <v>311</v>
      </c>
      <c r="C5" s="303"/>
      <c r="D5" s="303"/>
      <c r="E5" s="303"/>
      <c r="F5" s="303"/>
      <c r="G5" s="303"/>
      <c r="H5" s="303"/>
      <c r="I5" s="303"/>
      <c r="J5" s="303"/>
      <c r="K5" s="101"/>
      <c r="L5" s="101"/>
    </row>
    <row r="6" spans="2:12" ht="15" x14ac:dyDescent="0.3">
      <c r="B6" s="303" t="s">
        <v>312</v>
      </c>
      <c r="C6" s="303"/>
      <c r="D6" s="303"/>
      <c r="E6" s="303"/>
      <c r="F6" s="303"/>
      <c r="G6" s="303"/>
      <c r="H6" s="303"/>
      <c r="I6" s="303"/>
      <c r="J6" s="303"/>
      <c r="K6" s="101"/>
      <c r="L6" s="101"/>
    </row>
    <row r="7" spans="2:12" ht="15.6" customHeight="1" x14ac:dyDescent="0.3">
      <c r="B7" s="303" t="s">
        <v>313</v>
      </c>
      <c r="C7" s="303"/>
      <c r="D7" s="303"/>
      <c r="E7" s="303"/>
      <c r="F7" s="303"/>
      <c r="G7" s="303"/>
      <c r="H7" s="303"/>
      <c r="I7" s="303"/>
      <c r="J7" s="303"/>
      <c r="K7" s="101"/>
      <c r="L7" s="101"/>
    </row>
    <row r="8" spans="2:12" ht="15" x14ac:dyDescent="0.35">
      <c r="B8" s="288" t="s">
        <v>314</v>
      </c>
      <c r="C8" s="288"/>
      <c r="D8" s="288"/>
      <c r="E8" s="288"/>
      <c r="F8" s="288"/>
      <c r="G8" s="288"/>
      <c r="H8" s="288"/>
      <c r="I8" s="288"/>
      <c r="J8" s="288"/>
      <c r="K8" s="101"/>
      <c r="L8" s="101"/>
    </row>
    <row r="9" spans="2:12" ht="15" x14ac:dyDescent="0.3">
      <c r="B9" s="101"/>
      <c r="C9" s="101"/>
      <c r="D9" s="101"/>
      <c r="E9" s="101"/>
      <c r="F9" s="101"/>
      <c r="G9" s="101"/>
      <c r="H9" s="101"/>
      <c r="I9" s="101"/>
      <c r="J9" s="101"/>
      <c r="K9" s="101"/>
      <c r="L9" s="101"/>
    </row>
    <row r="10" spans="2:12" x14ac:dyDescent="0.3">
      <c r="B10" s="304" t="s">
        <v>315</v>
      </c>
      <c r="C10" s="304"/>
      <c r="D10" s="304"/>
      <c r="E10" s="304"/>
      <c r="F10" s="304"/>
      <c r="G10" s="304"/>
      <c r="H10" s="304"/>
      <c r="I10" s="304"/>
      <c r="J10" s="304"/>
      <c r="K10" s="101"/>
      <c r="L10" s="101"/>
    </row>
    <row r="11" spans="2:12" s="93" customFormat="1" ht="25.5" customHeight="1" x14ac:dyDescent="0.3">
      <c r="B11" s="305" t="s">
        <v>316</v>
      </c>
      <c r="C11" s="305"/>
      <c r="D11" s="305"/>
      <c r="E11" s="305"/>
      <c r="F11" s="305"/>
      <c r="G11" s="305"/>
      <c r="H11" s="305"/>
      <c r="I11" s="305"/>
      <c r="J11" s="305"/>
    </row>
    <row r="12" spans="2:12" s="22" customFormat="1" ht="15" x14ac:dyDescent="0.3">
      <c r="B12" s="306"/>
      <c r="C12" s="306"/>
      <c r="D12" s="306"/>
      <c r="E12" s="306"/>
      <c r="F12" s="306"/>
      <c r="G12" s="306"/>
      <c r="H12" s="306"/>
      <c r="I12" s="306"/>
      <c r="J12" s="306"/>
    </row>
    <row r="13" spans="2:12" s="22" customFormat="1" ht="18.600000000000001" x14ac:dyDescent="0.3">
      <c r="B13" s="307" t="s">
        <v>317</v>
      </c>
      <c r="C13" s="307"/>
      <c r="D13" s="307"/>
      <c r="E13" s="307"/>
      <c r="F13" s="307"/>
      <c r="G13" s="307"/>
      <c r="H13" s="307"/>
      <c r="I13" s="307"/>
      <c r="J13" s="307"/>
    </row>
    <row r="14" spans="2:12" s="22" customFormat="1" ht="15" x14ac:dyDescent="0.3">
      <c r="B14" s="71" t="s">
        <v>318</v>
      </c>
      <c r="C14" s="71" t="s">
        <v>319</v>
      </c>
      <c r="D14" s="101" t="s">
        <v>320</v>
      </c>
      <c r="E14" s="101" t="s">
        <v>321</v>
      </c>
      <c r="F14" s="72"/>
      <c r="G14" s="73"/>
    </row>
    <row r="15" spans="2:12" s="22" customFormat="1" ht="15" x14ac:dyDescent="0.3">
      <c r="B15" s="101" t="s">
        <v>322</v>
      </c>
      <c r="C15" s="101" t="s">
        <v>323</v>
      </c>
      <c r="D15" s="101"/>
      <c r="E15" s="262">
        <f>SUMIF(Government_revenues_table[Government entity],Government_agencies[[#This Row],[Full name of agency]],Government_revenues_table[Revenue value])</f>
        <v>314070478.58443868</v>
      </c>
      <c r="F15" s="73"/>
      <c r="G15" s="73"/>
    </row>
    <row r="16" spans="2:12" s="22" customFormat="1" ht="15" x14ac:dyDescent="0.3">
      <c r="B16" s="22" t="s">
        <v>324</v>
      </c>
      <c r="C16" s="101" t="s">
        <v>323</v>
      </c>
      <c r="D16" s="101"/>
      <c r="E16" s="262">
        <f>SUMIF(Government_revenues_table[Government entity],Government_agencies[[#This Row],[Full name of agency]],Government_revenues_table[Revenue value])</f>
        <v>633260481.43043113</v>
      </c>
      <c r="F16" s="73"/>
      <c r="G16" s="101"/>
      <c r="J16" s="72"/>
      <c r="K16" s="72"/>
      <c r="L16" s="72"/>
    </row>
    <row r="17" spans="2:12" s="22" customFormat="1" ht="15" x14ac:dyDescent="0.35">
      <c r="B17" s="111" t="s">
        <v>325</v>
      </c>
      <c r="C17" s="101" t="s">
        <v>323</v>
      </c>
      <c r="D17" s="101"/>
      <c r="E17" s="262">
        <f>SUMIF(Government_revenues_table[Government entity],Government_agencies[[#This Row],[Full name of agency]],Government_revenues_table[Revenue value])</f>
        <v>29440472.251814239</v>
      </c>
      <c r="F17" s="73"/>
      <c r="G17" s="101"/>
      <c r="J17" s="73"/>
      <c r="K17" s="73"/>
      <c r="L17" s="73"/>
    </row>
    <row r="18" spans="2:12" s="22" customFormat="1" ht="15" x14ac:dyDescent="0.3">
      <c r="C18" s="101"/>
      <c r="D18" s="74"/>
    </row>
    <row r="19" spans="2:12" s="22" customFormat="1" ht="18.600000000000001" x14ac:dyDescent="0.3">
      <c r="B19" s="307" t="s">
        <v>326</v>
      </c>
      <c r="C19" s="307"/>
      <c r="D19" s="307"/>
      <c r="E19" s="307"/>
      <c r="F19" s="307"/>
      <c r="G19" s="307"/>
      <c r="H19" s="307"/>
      <c r="I19" s="307"/>
      <c r="J19" s="307"/>
    </row>
    <row r="20" spans="2:12" s="22" customFormat="1" ht="15" x14ac:dyDescent="0.3">
      <c r="B20" s="308" t="s">
        <v>327</v>
      </c>
      <c r="C20" s="309"/>
      <c r="D20" s="310"/>
      <c r="E20" s="72"/>
    </row>
    <row r="21" spans="2:12" s="22" customFormat="1" ht="15" x14ac:dyDescent="0.3">
      <c r="B21" s="270" t="s">
        <v>328</v>
      </c>
      <c r="C21" s="271" t="s">
        <v>329</v>
      </c>
      <c r="D21" s="76"/>
    </row>
    <row r="22" spans="2:12" s="22" customFormat="1" ht="15" x14ac:dyDescent="0.3"/>
    <row r="23" spans="2:12" s="22" customFormat="1" ht="15" x14ac:dyDescent="0.3">
      <c r="B23" s="71" t="s">
        <v>330</v>
      </c>
      <c r="C23" s="71" t="s">
        <v>331</v>
      </c>
      <c r="D23" s="101" t="s">
        <v>332</v>
      </c>
      <c r="E23" s="101" t="s">
        <v>333</v>
      </c>
      <c r="F23" s="101" t="s">
        <v>334</v>
      </c>
      <c r="G23" s="101" t="s">
        <v>335</v>
      </c>
      <c r="H23" s="101" t="s">
        <v>336</v>
      </c>
      <c r="I23" s="101" t="s">
        <v>337</v>
      </c>
    </row>
    <row r="24" spans="2:12" s="22" customFormat="1" ht="15" x14ac:dyDescent="0.3">
      <c r="B24" s="71" t="s">
        <v>338</v>
      </c>
      <c r="C24" s="71"/>
      <c r="D24" s="71" t="s">
        <v>339</v>
      </c>
      <c r="E24" s="101" t="s">
        <v>340</v>
      </c>
      <c r="F24" s="101"/>
      <c r="G24" s="101"/>
      <c r="H24" s="101"/>
      <c r="I24" s="101">
        <f>SUMIF(Table10[Company],Companies[[#This Row],[Full company name]],Table10[Revenue value])</f>
        <v>1571924.9102206125</v>
      </c>
    </row>
    <row r="25" spans="2:12" s="22" customFormat="1" ht="15" x14ac:dyDescent="0.3">
      <c r="B25" s="71" t="s">
        <v>341</v>
      </c>
      <c r="C25" s="71"/>
      <c r="D25" s="71" t="s">
        <v>342</v>
      </c>
      <c r="E25" s="101" t="s">
        <v>340</v>
      </c>
      <c r="G25" s="101"/>
      <c r="H25" s="101"/>
      <c r="I25" s="101">
        <f>SUMIF(Table10[Company],Companies[[#This Row],[Full company name]],Table10[Revenue value])</f>
        <v>195.07307535734978</v>
      </c>
    </row>
    <row r="26" spans="2:12" s="22" customFormat="1" ht="15" x14ac:dyDescent="0.3">
      <c r="B26" s="110" t="s">
        <v>343</v>
      </c>
      <c r="C26" s="71"/>
      <c r="D26" s="71" t="s">
        <v>344</v>
      </c>
      <c r="E26" s="101" t="s">
        <v>340</v>
      </c>
      <c r="F26" s="22" t="s">
        <v>345</v>
      </c>
      <c r="G26" s="101"/>
      <c r="H26" s="101"/>
      <c r="I26" s="101">
        <f>SUMIF(Table10[Company],Companies[[#This Row],[Full company name]],Table10[Revenue value])</f>
        <v>196481708.40285397</v>
      </c>
    </row>
    <row r="27" spans="2:12" s="22" customFormat="1" ht="15" x14ac:dyDescent="0.3">
      <c r="B27" s="110" t="s">
        <v>346</v>
      </c>
      <c r="C27" s="71"/>
      <c r="D27" s="71" t="s">
        <v>347</v>
      </c>
      <c r="E27" s="101" t="s">
        <v>340</v>
      </c>
      <c r="G27" s="101"/>
      <c r="H27" s="101"/>
      <c r="I27" s="101">
        <f>SUMIF(Table10[Company],Companies[[#This Row],[Full company name]],Table10[Revenue value])</f>
        <v>14855128.701309383</v>
      </c>
    </row>
    <row r="28" spans="2:12" s="22" customFormat="1" ht="15" x14ac:dyDescent="0.3">
      <c r="B28" s="110" t="s">
        <v>348</v>
      </c>
      <c r="C28" s="71"/>
      <c r="D28" s="71" t="s">
        <v>349</v>
      </c>
      <c r="E28" s="101" t="s">
        <v>340</v>
      </c>
      <c r="F28" s="22" t="s">
        <v>345</v>
      </c>
      <c r="G28" s="101"/>
      <c r="H28" s="75" t="s">
        <v>61</v>
      </c>
      <c r="I28" s="101">
        <f>SUMIF(Table10[Company],Companies[[#This Row],[Full company name]],Table10[Revenue value])</f>
        <v>6980377.9143660441</v>
      </c>
    </row>
    <row r="29" spans="2:12" s="22" customFormat="1" ht="15" x14ac:dyDescent="0.3">
      <c r="B29" s="110" t="s">
        <v>350</v>
      </c>
      <c r="C29" s="71"/>
      <c r="D29" s="71" t="s">
        <v>351</v>
      </c>
      <c r="E29" s="101" t="s">
        <v>340</v>
      </c>
      <c r="G29" s="101"/>
      <c r="H29" s="75" t="s">
        <v>61</v>
      </c>
      <c r="I29" s="101">
        <f>SUMIF(Table10[Company],Companies[[#This Row],[Full company name]],Table10[Revenue value])</f>
        <v>7484273.8859042097</v>
      </c>
    </row>
    <row r="30" spans="2:12" s="22" customFormat="1" ht="15" x14ac:dyDescent="0.3">
      <c r="B30" s="110" t="s">
        <v>352</v>
      </c>
      <c r="C30" s="71"/>
      <c r="D30" s="71" t="s">
        <v>353</v>
      </c>
      <c r="E30" s="101" t="s">
        <v>340</v>
      </c>
      <c r="F30" s="22" t="s">
        <v>345</v>
      </c>
      <c r="G30" s="101"/>
      <c r="H30" s="75" t="s">
        <v>61</v>
      </c>
      <c r="I30" s="101">
        <f>SUMIF(Table10[Company],Companies[[#This Row],[Full company name]],Table10[Revenue value])</f>
        <v>7531791.8800061969</v>
      </c>
    </row>
    <row r="31" spans="2:12" s="22" customFormat="1" ht="15" x14ac:dyDescent="0.3">
      <c r="B31" s="110" t="s">
        <v>354</v>
      </c>
      <c r="C31" s="71"/>
      <c r="D31" s="71" t="s">
        <v>355</v>
      </c>
      <c r="E31" s="101" t="s">
        <v>340</v>
      </c>
      <c r="G31" s="101"/>
      <c r="H31" s="101"/>
      <c r="I31" s="101">
        <f>SUMIF(Table10[Company],Companies[[#This Row],[Full company name]],Table10[Revenue value])</f>
        <v>204991.7339892629</v>
      </c>
    </row>
    <row r="32" spans="2:12" s="22" customFormat="1" ht="15" x14ac:dyDescent="0.3">
      <c r="B32" s="110" t="s">
        <v>356</v>
      </c>
      <c r="C32" s="71"/>
      <c r="D32" s="71" t="s">
        <v>357</v>
      </c>
      <c r="E32" s="101" t="s">
        <v>340</v>
      </c>
      <c r="F32" s="22" t="s">
        <v>345</v>
      </c>
      <c r="G32" s="101"/>
      <c r="H32" s="75" t="s">
        <v>61</v>
      </c>
      <c r="I32" s="101">
        <f>SUMIF(Table10[Company],Companies[[#This Row],[Full company name]],Table10[Revenue value])</f>
        <v>78346281.508790672</v>
      </c>
    </row>
    <row r="33" spans="2:9" s="22" customFormat="1" ht="15" x14ac:dyDescent="0.3">
      <c r="B33" s="110" t="s">
        <v>358</v>
      </c>
      <c r="C33" s="71"/>
      <c r="D33" s="71" t="s">
        <v>359</v>
      </c>
      <c r="E33" s="101" t="s">
        <v>340</v>
      </c>
      <c r="F33" s="22" t="s">
        <v>345</v>
      </c>
      <c r="G33" s="101"/>
      <c r="H33" s="101"/>
      <c r="I33" s="101">
        <f>SUMIF(Table10[Company],Companies[[#This Row],[Full company name]],Table10[Revenue value])</f>
        <v>10089837.403268566</v>
      </c>
    </row>
    <row r="34" spans="2:9" s="22" customFormat="1" ht="15" x14ac:dyDescent="0.35">
      <c r="B34" s="71" t="s">
        <v>360</v>
      </c>
      <c r="C34" s="71"/>
      <c r="D34" s="105" t="s">
        <v>361</v>
      </c>
      <c r="E34" s="101" t="s">
        <v>340</v>
      </c>
      <c r="G34" s="101"/>
      <c r="H34" s="101"/>
      <c r="I34" s="101">
        <f>SUMIF(Table10[Company],Companies[[#This Row],[Full company name]],Table10[Revenue value])</f>
        <v>0</v>
      </c>
    </row>
    <row r="35" spans="2:9" s="22" customFormat="1" ht="15" x14ac:dyDescent="0.35">
      <c r="B35" s="71" t="s">
        <v>362</v>
      </c>
      <c r="C35" s="71"/>
      <c r="D35" s="105" t="s">
        <v>363</v>
      </c>
      <c r="E35" s="101" t="s">
        <v>340</v>
      </c>
      <c r="G35" s="101"/>
      <c r="H35" s="101"/>
      <c r="I35" s="101">
        <f>SUMIF(Table10[Company],Companies[[#This Row],[Full company name]],Table10[Revenue value])</f>
        <v>96552.433265102969</v>
      </c>
    </row>
    <row r="36" spans="2:9" s="22" customFormat="1" ht="15" x14ac:dyDescent="0.3">
      <c r="B36" s="110" t="s">
        <v>364</v>
      </c>
      <c r="C36" s="71"/>
      <c r="D36" s="71" t="s">
        <v>365</v>
      </c>
      <c r="E36" s="101" t="s">
        <v>340</v>
      </c>
      <c r="G36" s="101"/>
      <c r="H36" s="75" t="s">
        <v>61</v>
      </c>
      <c r="I36" s="101">
        <f>SUMIF(Table10[Company],Companies[[#This Row],[Full company name]],Table10[Revenue value])</f>
        <v>2632116.2659801589</v>
      </c>
    </row>
    <row r="37" spans="2:9" s="22" customFormat="1" ht="15" x14ac:dyDescent="0.35">
      <c r="B37" s="71" t="s">
        <v>366</v>
      </c>
      <c r="C37" s="71"/>
      <c r="D37" s="105" t="s">
        <v>367</v>
      </c>
      <c r="E37" s="101" t="s">
        <v>340</v>
      </c>
      <c r="G37" s="101"/>
      <c r="H37" s="101"/>
      <c r="I37" s="101">
        <f>SUMIF(Table10[Company],Companies[[#This Row],[Full company name]],Table10[Revenue value])</f>
        <v>822357.43281596759</v>
      </c>
    </row>
    <row r="38" spans="2:9" s="22" customFormat="1" ht="15" x14ac:dyDescent="0.35">
      <c r="B38" s="71" t="s">
        <v>368</v>
      </c>
      <c r="C38" s="71"/>
      <c r="D38" s="105" t="s">
        <v>369</v>
      </c>
      <c r="E38" s="101" t="s">
        <v>340</v>
      </c>
      <c r="G38" s="101"/>
      <c r="H38" s="101"/>
      <c r="I38" s="101">
        <f>SUMIF(Table10[Company],Companies[[#This Row],[Full company name]],Table10[Revenue value])</f>
        <v>12087097.454833187</v>
      </c>
    </row>
    <row r="39" spans="2:9" s="22" customFormat="1" ht="15" x14ac:dyDescent="0.3">
      <c r="B39" s="110" t="s">
        <v>370</v>
      </c>
      <c r="C39" s="71"/>
      <c r="D39" s="71" t="s">
        <v>371</v>
      </c>
      <c r="E39" s="101" t="s">
        <v>340</v>
      </c>
      <c r="G39" s="101"/>
      <c r="H39" s="101"/>
      <c r="I39" s="101">
        <f>SUMIF(Table10[Company],Companies[[#This Row],[Full company name]],Table10[Revenue value])</f>
        <v>1478493.0536841571</v>
      </c>
    </row>
    <row r="40" spans="2:9" s="22" customFormat="1" ht="15" x14ac:dyDescent="0.3">
      <c r="B40" s="110" t="s">
        <v>372</v>
      </c>
      <c r="C40" s="71"/>
      <c r="D40" s="71" t="s">
        <v>373</v>
      </c>
      <c r="E40" s="101" t="s">
        <v>340</v>
      </c>
      <c r="G40" s="101"/>
      <c r="H40" s="101"/>
      <c r="I40" s="101">
        <f>SUMIF(Table10[Company],Companies[[#This Row],[Full company name]],Table10[Revenue value])</f>
        <v>0</v>
      </c>
    </row>
    <row r="41" spans="2:9" s="22" customFormat="1" ht="15" x14ac:dyDescent="0.3">
      <c r="B41" s="110" t="s">
        <v>374</v>
      </c>
      <c r="C41" s="71"/>
      <c r="D41" s="71" t="s">
        <v>375</v>
      </c>
      <c r="E41" s="101" t="s">
        <v>340</v>
      </c>
      <c r="G41" s="101"/>
      <c r="H41" s="101"/>
      <c r="I41" s="101">
        <f>SUMIF(Table10[Company],Companies[[#This Row],[Full company name]],Table10[Revenue value])</f>
        <v>1368143.9031242663</v>
      </c>
    </row>
    <row r="42" spans="2:9" s="22" customFormat="1" ht="15" x14ac:dyDescent="0.3">
      <c r="B42" s="110" t="s">
        <v>376</v>
      </c>
      <c r="C42" s="71"/>
      <c r="D42" s="71" t="s">
        <v>377</v>
      </c>
      <c r="E42" s="101" t="s">
        <v>340</v>
      </c>
      <c r="G42" s="101"/>
      <c r="H42" s="101"/>
      <c r="I42" s="101">
        <f>SUMIF(Table10[Company],Companies[[#This Row],[Full company name]],Table10[Revenue value])</f>
        <v>2692425.5437888354</v>
      </c>
    </row>
    <row r="43" spans="2:9" s="22" customFormat="1" ht="15" x14ac:dyDescent="0.3">
      <c r="B43" s="110" t="s">
        <v>378</v>
      </c>
      <c r="C43" s="71"/>
      <c r="D43" s="71" t="s">
        <v>379</v>
      </c>
      <c r="E43" s="101" t="s">
        <v>340</v>
      </c>
      <c r="G43" s="101"/>
      <c r="H43" s="101"/>
      <c r="I43" s="101">
        <f>SUMIF(Table10[Company],Companies[[#This Row],[Full company name]],Table10[Revenue value])</f>
        <v>0</v>
      </c>
    </row>
    <row r="44" spans="2:9" s="22" customFormat="1" ht="15" x14ac:dyDescent="0.3">
      <c r="B44" s="110" t="s">
        <v>380</v>
      </c>
      <c r="C44" s="71"/>
      <c r="D44" s="71" t="s">
        <v>381</v>
      </c>
      <c r="E44" s="101" t="s">
        <v>340</v>
      </c>
      <c r="G44" s="101"/>
      <c r="H44" s="101"/>
      <c r="I44" s="101">
        <f>SUMIF(Table10[Company],Companies[[#This Row],[Full company name]],Table10[Revenue value])</f>
        <v>1245680.6701489037</v>
      </c>
    </row>
    <row r="45" spans="2:9" s="22" customFormat="1" ht="15" x14ac:dyDescent="0.3">
      <c r="B45" s="110" t="s">
        <v>382</v>
      </c>
      <c r="C45" s="71"/>
      <c r="D45" s="71" t="s">
        <v>383</v>
      </c>
      <c r="E45" s="101" t="s">
        <v>340</v>
      </c>
      <c r="F45" s="22" t="s">
        <v>345</v>
      </c>
      <c r="G45" s="101"/>
      <c r="H45" s="101"/>
      <c r="I45" s="101">
        <f>SUMIF(Table10[Company],Companies[[#This Row],[Full company name]],Table10[Revenue value])</f>
        <v>100930945.31742443</v>
      </c>
    </row>
    <row r="46" spans="2:9" s="22" customFormat="1" ht="15" x14ac:dyDescent="0.3">
      <c r="B46" s="110" t="s">
        <v>384</v>
      </c>
      <c r="C46" s="71"/>
      <c r="D46" s="101" t="s">
        <v>385</v>
      </c>
      <c r="E46" s="101" t="s">
        <v>340</v>
      </c>
      <c r="G46" s="101"/>
      <c r="H46" s="101"/>
      <c r="I46" s="101">
        <f>SUMIF(Table10[Company],Companies[[#This Row],[Full company name]],Table10[Revenue value])</f>
        <v>1559332.9150636345</v>
      </c>
    </row>
    <row r="47" spans="2:9" s="22" customFormat="1" ht="15" x14ac:dyDescent="0.3">
      <c r="B47" s="110" t="s">
        <v>386</v>
      </c>
      <c r="C47" s="71"/>
      <c r="D47" s="101" t="s">
        <v>387</v>
      </c>
      <c r="E47" s="101" t="s">
        <v>340</v>
      </c>
      <c r="G47" s="101"/>
      <c r="H47" s="101"/>
      <c r="I47" s="101">
        <f>SUMIF(Table10[Company],Companies[[#This Row],[Full company name]],Table10[Revenue value])</f>
        <v>1495343.465933525</v>
      </c>
    </row>
    <row r="48" spans="2:9" s="22" customFormat="1" ht="15" x14ac:dyDescent="0.3">
      <c r="B48" s="110" t="s">
        <v>388</v>
      </c>
      <c r="C48" s="71"/>
      <c r="D48" s="71" t="s">
        <v>389</v>
      </c>
      <c r="E48" s="101" t="s">
        <v>340</v>
      </c>
      <c r="G48" s="101"/>
      <c r="H48" s="101"/>
      <c r="I48" s="101">
        <f>SUMIF(Table10[Company],Companies[[#This Row],[Full company name]],Table10[Revenue value])</f>
        <v>0</v>
      </c>
    </row>
    <row r="49" spans="2:9" s="22" customFormat="1" ht="15" x14ac:dyDescent="0.3">
      <c r="B49" s="110" t="s">
        <v>390</v>
      </c>
      <c r="C49" s="71"/>
      <c r="D49" s="71" t="s">
        <v>391</v>
      </c>
      <c r="E49" s="101" t="s">
        <v>340</v>
      </c>
      <c r="G49" s="101"/>
      <c r="H49" s="101"/>
      <c r="I49" s="101">
        <f>SUMIF(Table10[Company],Companies[[#This Row],[Full company name]],Table10[Revenue value])</f>
        <v>450231.91654864931</v>
      </c>
    </row>
    <row r="50" spans="2:9" s="22" customFormat="1" ht="15" x14ac:dyDescent="0.3">
      <c r="B50" s="110" t="s">
        <v>392</v>
      </c>
      <c r="C50" s="71"/>
      <c r="D50" s="71" t="s">
        <v>393</v>
      </c>
      <c r="E50" s="101" t="s">
        <v>340</v>
      </c>
      <c r="F50" s="22" t="s">
        <v>345</v>
      </c>
      <c r="G50" s="101"/>
      <c r="H50" s="75" t="s">
        <v>61</v>
      </c>
      <c r="I50" s="101">
        <f>SUMIF(Table10[Company],Companies[[#This Row],[Full company name]],Table10[Revenue value])</f>
        <v>14315490.513677631</v>
      </c>
    </row>
    <row r="51" spans="2:9" s="22" customFormat="1" ht="15" x14ac:dyDescent="0.3">
      <c r="B51" s="110" t="s">
        <v>394</v>
      </c>
      <c r="C51" s="71"/>
      <c r="D51" s="71" t="s">
        <v>395</v>
      </c>
      <c r="E51" s="101" t="s">
        <v>340</v>
      </c>
      <c r="F51" s="22" t="s">
        <v>85</v>
      </c>
      <c r="G51" s="101"/>
      <c r="H51" s="75" t="s">
        <v>61</v>
      </c>
      <c r="I51" s="101">
        <f>SUMIF(Table10[Company],Companies[[#This Row],[Full company name]],Table10[Revenue value])</f>
        <v>58898374.835396528</v>
      </c>
    </row>
    <row r="52" spans="2:9" s="22" customFormat="1" ht="15" x14ac:dyDescent="0.3">
      <c r="B52" s="110" t="s">
        <v>396</v>
      </c>
      <c r="C52" s="71"/>
      <c r="D52" s="71" t="s">
        <v>397</v>
      </c>
      <c r="E52" s="101" t="s">
        <v>340</v>
      </c>
      <c r="F52" s="22" t="s">
        <v>345</v>
      </c>
      <c r="G52" s="101"/>
      <c r="H52" s="75" t="s">
        <v>61</v>
      </c>
      <c r="I52" s="101">
        <f>SUMIF(Table10[Company],Companies[[#This Row],[Full company name]],Table10[Revenue value])</f>
        <v>57569707.827577733</v>
      </c>
    </row>
    <row r="53" spans="2:9" s="22" customFormat="1" ht="15" x14ac:dyDescent="0.3">
      <c r="B53" s="110" t="s">
        <v>398</v>
      </c>
      <c r="C53" s="71"/>
      <c r="D53" s="71" t="s">
        <v>399</v>
      </c>
      <c r="E53" s="101" t="s">
        <v>340</v>
      </c>
      <c r="F53" s="22" t="s">
        <v>345</v>
      </c>
      <c r="G53" s="101"/>
      <c r="H53" s="75" t="s">
        <v>61</v>
      </c>
      <c r="I53" s="101">
        <f>SUMIF(Table10[Company],Companies[[#This Row],[Full company name]],Table10[Revenue value])</f>
        <v>41272371.886389673</v>
      </c>
    </row>
    <row r="54" spans="2:9" s="22" customFormat="1" ht="15" x14ac:dyDescent="0.3">
      <c r="B54" s="110" t="s">
        <v>400</v>
      </c>
      <c r="C54" s="71"/>
      <c r="D54" s="71" t="s">
        <v>401</v>
      </c>
      <c r="E54" s="101" t="s">
        <v>340</v>
      </c>
      <c r="F54" s="22" t="s">
        <v>345</v>
      </c>
      <c r="G54" s="101"/>
      <c r="H54" s="75" t="s">
        <v>61</v>
      </c>
      <c r="I54" s="101">
        <f>SUMIF(Table10[Company],Companies[[#This Row],[Full company name]],Table10[Revenue value])</f>
        <v>2243528.7743178406</v>
      </c>
    </row>
    <row r="55" spans="2:9" s="22" customFormat="1" ht="15" x14ac:dyDescent="0.3">
      <c r="B55" s="110" t="s">
        <v>402</v>
      </c>
      <c r="C55" s="71"/>
      <c r="D55" s="71" t="s">
        <v>403</v>
      </c>
      <c r="E55" s="101" t="s">
        <v>340</v>
      </c>
      <c r="F55" s="22" t="s">
        <v>404</v>
      </c>
      <c r="G55" s="101"/>
      <c r="H55" s="75" t="s">
        <v>61</v>
      </c>
      <c r="I55" s="101">
        <f>SUMIF(Table10[Company],Companies[[#This Row],[Full company name]],Table10[Revenue value])</f>
        <v>274652.96611222299</v>
      </c>
    </row>
    <row r="56" spans="2:9" s="22" customFormat="1" ht="15" x14ac:dyDescent="0.3">
      <c r="B56" s="110" t="s">
        <v>405</v>
      </c>
      <c r="C56" s="71"/>
      <c r="D56" s="71" t="s">
        <v>406</v>
      </c>
      <c r="E56" s="101" t="s">
        <v>340</v>
      </c>
      <c r="G56" s="101"/>
      <c r="H56" s="101"/>
      <c r="I56" s="101">
        <f>SUMIF(Table10[Company],Companies[[#This Row],[Full company name]],Table10[Revenue value])</f>
        <v>127563540.58085695</v>
      </c>
    </row>
    <row r="57" spans="2:9" s="22" customFormat="1" ht="15" x14ac:dyDescent="0.3">
      <c r="B57" s="110" t="s">
        <v>407</v>
      </c>
      <c r="C57" s="71"/>
      <c r="D57" s="71" t="s">
        <v>408</v>
      </c>
      <c r="E57" s="101" t="s">
        <v>340</v>
      </c>
      <c r="G57" s="101"/>
      <c r="H57" s="75" t="s">
        <v>61</v>
      </c>
      <c r="I57" s="101">
        <f>SUMIF(Table10[Company],Companies[[#This Row],[Full company name]],Table10[Revenue value])</f>
        <v>1643849.7009902021</v>
      </c>
    </row>
    <row r="58" spans="2:9" s="22" customFormat="1" ht="15" x14ac:dyDescent="0.3">
      <c r="B58" s="110" t="s">
        <v>409</v>
      </c>
      <c r="C58" s="71"/>
      <c r="D58" s="71" t="s">
        <v>410</v>
      </c>
      <c r="E58" s="101" t="s">
        <v>340</v>
      </c>
      <c r="G58" s="101"/>
      <c r="H58" s="101"/>
      <c r="I58" s="101">
        <f>SUMIF(Table10[Company],Companies[[#This Row],[Full company name]],Table10[Revenue value])</f>
        <v>14415621.952804431</v>
      </c>
    </row>
    <row r="59" spans="2:9" s="22" customFormat="1" ht="15" x14ac:dyDescent="0.3">
      <c r="B59" s="110" t="s">
        <v>411</v>
      </c>
      <c r="C59" s="71"/>
      <c r="D59" s="71" t="s">
        <v>412</v>
      </c>
      <c r="E59" s="101" t="s">
        <v>340</v>
      </c>
      <c r="G59" s="101"/>
      <c r="H59" s="101"/>
      <c r="I59" s="101">
        <f>SUMIF(Table10[Company],Companies[[#This Row],[Full company name]],Table10[Revenue value])</f>
        <v>0</v>
      </c>
    </row>
    <row r="60" spans="2:9" s="22" customFormat="1" ht="15" x14ac:dyDescent="0.3">
      <c r="B60" s="110" t="s">
        <v>413</v>
      </c>
      <c r="C60" s="71"/>
      <c r="D60" s="71" t="s">
        <v>414</v>
      </c>
      <c r="E60" s="101" t="s">
        <v>340</v>
      </c>
      <c r="G60" s="101"/>
      <c r="H60" s="75" t="s">
        <v>61</v>
      </c>
      <c r="I60" s="101">
        <f>SUMIF(Table10[Company],Companies[[#This Row],[Full company name]],Table10[Revenue value])</f>
        <v>32700208.489814192</v>
      </c>
    </row>
    <row r="61" spans="2:9" s="22" customFormat="1" ht="15" x14ac:dyDescent="0.3">
      <c r="B61" s="110" t="s">
        <v>415</v>
      </c>
      <c r="C61" s="71"/>
      <c r="D61" s="71" t="s">
        <v>416</v>
      </c>
      <c r="E61" s="101" t="s">
        <v>340</v>
      </c>
      <c r="F61" s="22" t="s">
        <v>345</v>
      </c>
      <c r="G61" s="101"/>
      <c r="H61" s="101"/>
      <c r="I61" s="101">
        <f>SUMIF(Table10[Company],Companies[[#This Row],[Full company name]],Table10[Revenue value])</f>
        <v>0</v>
      </c>
    </row>
    <row r="62" spans="2:9" s="22" customFormat="1" ht="15" x14ac:dyDescent="0.35">
      <c r="B62" s="71" t="s">
        <v>417</v>
      </c>
      <c r="C62" s="71"/>
      <c r="D62" s="105" t="s">
        <v>418</v>
      </c>
      <c r="E62" s="101" t="s">
        <v>340</v>
      </c>
      <c r="F62" s="22" t="s">
        <v>345</v>
      </c>
      <c r="G62" s="101"/>
      <c r="H62" s="101"/>
      <c r="I62" s="101">
        <f>SUMIF(Table10[Company],Companies[[#This Row],[Full company name]],Table10[Revenue value])</f>
        <v>117890116.8599385</v>
      </c>
    </row>
    <row r="63" spans="2:9" s="22" customFormat="1" ht="15" x14ac:dyDescent="0.3">
      <c r="B63" s="110" t="s">
        <v>419</v>
      </c>
      <c r="C63" s="71"/>
      <c r="D63" s="71" t="s">
        <v>420</v>
      </c>
      <c r="E63" s="101" t="s">
        <v>340</v>
      </c>
      <c r="F63" s="22" t="s">
        <v>84</v>
      </c>
      <c r="G63" s="101"/>
      <c r="H63" s="101"/>
      <c r="I63" s="101">
        <f>SUMIF(Table10[Company],Companies[[#This Row],[Full company name]],Table10[Revenue value])</f>
        <v>949817.17304344045</v>
      </c>
    </row>
    <row r="64" spans="2:9" s="22" customFormat="1" ht="15" x14ac:dyDescent="0.3">
      <c r="B64" s="110" t="s">
        <v>421</v>
      </c>
      <c r="C64" s="71"/>
      <c r="D64" s="71" t="s">
        <v>422</v>
      </c>
      <c r="E64" s="101" t="s">
        <v>340</v>
      </c>
      <c r="F64" s="22" t="s">
        <v>404</v>
      </c>
      <c r="G64" s="101"/>
      <c r="H64" s="101"/>
      <c r="I64" s="101">
        <f>SUMIF(Table10[Company],Companies[[#This Row],[Full company name]],Table10[Revenue value])</f>
        <v>2110168.8511869623</v>
      </c>
    </row>
    <row r="65" spans="2:10" s="22" customFormat="1" ht="15" x14ac:dyDescent="0.3">
      <c r="B65" s="110" t="s">
        <v>423</v>
      </c>
      <c r="C65" s="71"/>
      <c r="D65" s="71" t="s">
        <v>424</v>
      </c>
      <c r="E65" s="101" t="s">
        <v>340</v>
      </c>
      <c r="F65" s="22" t="s">
        <v>345</v>
      </c>
      <c r="G65" s="101"/>
      <c r="H65" s="101"/>
      <c r="I65" s="101">
        <f>SUMIF(Table10[Company],Companies[[#This Row],[Full company name]],Table10[Revenue value])</f>
        <v>47144612.238091715</v>
      </c>
    </row>
    <row r="66" spans="2:10" s="22" customFormat="1" ht="15" x14ac:dyDescent="0.3">
      <c r="B66" s="110" t="s">
        <v>425</v>
      </c>
      <c r="C66" s="71"/>
      <c r="D66" s="71" t="s">
        <v>426</v>
      </c>
      <c r="E66" s="101" t="s">
        <v>340</v>
      </c>
      <c r="G66" s="101"/>
      <c r="H66" s="101"/>
      <c r="I66" s="101">
        <f>SUMIF(Table10[Company],Companies[[#This Row],[Full company name]],Table10[Revenue value])</f>
        <v>16118.931171365401</v>
      </c>
    </row>
    <row r="67" spans="2:10" s="22" customFormat="1" ht="15" x14ac:dyDescent="0.3">
      <c r="B67" s="110" t="s">
        <v>427</v>
      </c>
      <c r="C67" s="71"/>
      <c r="D67" s="71" t="s">
        <v>428</v>
      </c>
      <c r="E67" s="101" t="s">
        <v>340</v>
      </c>
      <c r="F67" s="22" t="s">
        <v>84</v>
      </c>
      <c r="G67" s="101"/>
      <c r="H67" s="75" t="s">
        <v>61</v>
      </c>
      <c r="I67" s="101">
        <f>SUMIF(Table10[Company],Companies[[#This Row],[Full company name]],Table10[Revenue value])</f>
        <v>5640677.2060692627</v>
      </c>
    </row>
    <row r="68" spans="2:10" s="22" customFormat="1" ht="15" x14ac:dyDescent="0.3">
      <c r="B68" s="110" t="s">
        <v>429</v>
      </c>
      <c r="C68" s="71"/>
      <c r="D68" s="71" t="s">
        <v>430</v>
      </c>
      <c r="E68" s="101" t="s">
        <v>340</v>
      </c>
      <c r="G68" s="101"/>
      <c r="H68" s="75" t="s">
        <v>61</v>
      </c>
      <c r="I68" s="101">
        <f>SUMIF(Table10[Company],Companies[[#This Row],[Full company name]],Table10[Revenue value])</f>
        <v>0</v>
      </c>
    </row>
    <row r="69" spans="2:10" s="22" customFormat="1" ht="15" x14ac:dyDescent="0.3">
      <c r="B69" s="110" t="s">
        <v>431</v>
      </c>
      <c r="C69" s="71"/>
      <c r="D69" s="71" t="s">
        <v>432</v>
      </c>
      <c r="E69" s="101" t="s">
        <v>340</v>
      </c>
      <c r="F69" s="22" t="s">
        <v>84</v>
      </c>
      <c r="G69" s="101"/>
      <c r="H69" s="75" t="s">
        <v>61</v>
      </c>
      <c r="I69" s="101">
        <f>SUMIF(Table10[Company],Companies[[#This Row],[Full company name]],Table10[Revenue value])</f>
        <v>1516327.6025510924</v>
      </c>
    </row>
    <row r="70" spans="2:10" s="22" customFormat="1" ht="15" x14ac:dyDescent="0.3">
      <c r="B70" s="110" t="s">
        <v>433</v>
      </c>
      <c r="C70" s="71"/>
      <c r="D70" s="71" t="s">
        <v>434</v>
      </c>
      <c r="E70" s="22" t="s">
        <v>435</v>
      </c>
      <c r="F70" s="22" t="s">
        <v>436</v>
      </c>
      <c r="G70" s="101"/>
      <c r="H70" s="101"/>
      <c r="I70" s="101">
        <f>SUMIF(Table10[Company],Companies[[#This Row],[Full company name]],Table10[Revenue value])</f>
        <v>153340.47172642095</v>
      </c>
    </row>
    <row r="71" spans="2:10" s="22" customFormat="1" ht="15" x14ac:dyDescent="0.3">
      <c r="B71" s="110" t="s">
        <v>437</v>
      </c>
      <c r="C71" s="71"/>
      <c r="D71" s="101" t="s">
        <v>438</v>
      </c>
      <c r="E71" s="22" t="s">
        <v>435</v>
      </c>
      <c r="F71" s="22" t="s">
        <v>439</v>
      </c>
      <c r="G71" s="101"/>
      <c r="H71" s="101"/>
      <c r="I71" s="101">
        <f>SUMIF(Table10[Company],Companies[[#This Row],[Full company name]],Table10[Revenue value])</f>
        <v>7248.956953674031</v>
      </c>
    </row>
    <row r="72" spans="2:10" s="22" customFormat="1" ht="15" x14ac:dyDescent="0.3">
      <c r="B72" s="110" t="s">
        <v>440</v>
      </c>
      <c r="C72" s="71"/>
      <c r="D72" s="71" t="s">
        <v>441</v>
      </c>
      <c r="E72" s="22" t="s">
        <v>435</v>
      </c>
      <c r="F72" s="22" t="s">
        <v>436</v>
      </c>
      <c r="G72" s="101"/>
      <c r="H72" s="101"/>
      <c r="I72" s="101">
        <f>SUMIF(Table10[Company],Companies[[#This Row],[Full company name]],Table10[Revenue value])</f>
        <v>40423.969902164856</v>
      </c>
    </row>
    <row r="73" spans="2:10" s="22" customFormat="1" ht="15" x14ac:dyDescent="0.3">
      <c r="C73" s="101"/>
      <c r="F73" s="75"/>
      <c r="G73" s="75"/>
    </row>
    <row r="74" spans="2:10" s="22" customFormat="1" ht="18.600000000000001" x14ac:dyDescent="0.3">
      <c r="B74" s="307" t="s">
        <v>442</v>
      </c>
      <c r="C74" s="307"/>
      <c r="D74" s="307"/>
      <c r="E74" s="307"/>
      <c r="F74" s="307"/>
      <c r="G74" s="307"/>
      <c r="H74" s="307"/>
      <c r="I74" s="307"/>
      <c r="J74" s="307"/>
    </row>
    <row r="75" spans="2:10" s="22" customFormat="1" ht="15" x14ac:dyDescent="0.35">
      <c r="B75" s="71" t="s">
        <v>443</v>
      </c>
      <c r="C75" s="111" t="s">
        <v>444</v>
      </c>
      <c r="D75" s="111" t="s">
        <v>445</v>
      </c>
      <c r="E75" s="111" t="s">
        <v>446</v>
      </c>
      <c r="F75" s="101" t="s">
        <v>447</v>
      </c>
      <c r="G75" s="101" t="s">
        <v>448</v>
      </c>
      <c r="H75" s="101" t="s">
        <v>449</v>
      </c>
      <c r="I75" s="101" t="s">
        <v>450</v>
      </c>
      <c r="J75" s="101" t="s">
        <v>451</v>
      </c>
    </row>
    <row r="76" spans="2:10" s="22" customFormat="1" ht="15" x14ac:dyDescent="0.3">
      <c r="B76" s="71" t="s">
        <v>338</v>
      </c>
      <c r="C76" s="71" t="s">
        <v>339</v>
      </c>
      <c r="D76" s="101"/>
      <c r="E76" s="101"/>
      <c r="F76" s="75"/>
      <c r="G76" s="75"/>
      <c r="H76" s="101"/>
      <c r="I76" s="101"/>
      <c r="J76" s="101"/>
    </row>
    <row r="77" spans="2:10" s="22" customFormat="1" ht="15" x14ac:dyDescent="0.3">
      <c r="B77" s="71" t="s">
        <v>341</v>
      </c>
      <c r="C77" s="71" t="s">
        <v>342</v>
      </c>
      <c r="D77" s="101"/>
      <c r="F77" s="75"/>
      <c r="G77" s="75"/>
      <c r="H77" s="101"/>
      <c r="I77" s="101"/>
      <c r="J77" s="101"/>
    </row>
    <row r="78" spans="2:10" s="22" customFormat="1" ht="15" x14ac:dyDescent="0.3">
      <c r="B78" s="110" t="s">
        <v>343</v>
      </c>
      <c r="C78" s="71" t="s">
        <v>344</v>
      </c>
      <c r="D78" s="101"/>
      <c r="E78" s="22" t="s">
        <v>84</v>
      </c>
      <c r="F78" s="75" t="s">
        <v>452</v>
      </c>
      <c r="G78" s="75">
        <v>374439.88699999999</v>
      </c>
      <c r="H78" s="22" t="s">
        <v>183</v>
      </c>
      <c r="I78" s="101"/>
      <c r="J78" s="101"/>
    </row>
    <row r="79" spans="2:10" s="22" customFormat="1" ht="15" x14ac:dyDescent="0.3">
      <c r="B79" s="110" t="s">
        <v>343</v>
      </c>
      <c r="C79" s="71" t="s">
        <v>344</v>
      </c>
      <c r="D79" s="101"/>
      <c r="E79" s="22" t="s">
        <v>85</v>
      </c>
      <c r="F79" s="75" t="s">
        <v>452</v>
      </c>
      <c r="G79" s="75">
        <v>19018661671.388</v>
      </c>
      <c r="H79" s="22" t="s">
        <v>183</v>
      </c>
      <c r="I79" s="101"/>
      <c r="J79" s="101"/>
    </row>
    <row r="80" spans="2:10" s="22" customFormat="1" ht="15" x14ac:dyDescent="0.3">
      <c r="B80" s="110" t="s">
        <v>346</v>
      </c>
      <c r="C80" s="71" t="s">
        <v>347</v>
      </c>
      <c r="D80" s="101"/>
      <c r="F80" s="75"/>
      <c r="G80" s="75"/>
      <c r="H80" s="101"/>
      <c r="I80" s="101"/>
      <c r="J80" s="101"/>
    </row>
    <row r="81" spans="2:10" s="22" customFormat="1" ht="15" x14ac:dyDescent="0.3">
      <c r="B81" s="110" t="s">
        <v>348</v>
      </c>
      <c r="C81" s="71" t="s">
        <v>349</v>
      </c>
      <c r="D81" s="101"/>
      <c r="E81" s="22" t="s">
        <v>84</v>
      </c>
      <c r="F81" s="75" t="s">
        <v>452</v>
      </c>
      <c r="G81" s="75">
        <v>61.21</v>
      </c>
      <c r="H81" s="22" t="s">
        <v>183</v>
      </c>
      <c r="I81" s="101"/>
      <c r="J81" s="101"/>
    </row>
    <row r="82" spans="2:10" s="22" customFormat="1" ht="15" x14ac:dyDescent="0.3">
      <c r="B82" s="110" t="s">
        <v>348</v>
      </c>
      <c r="C82" s="71" t="s">
        <v>349</v>
      </c>
      <c r="D82" s="101"/>
      <c r="E82" s="22" t="s">
        <v>85</v>
      </c>
      <c r="F82" s="75" t="s">
        <v>452</v>
      </c>
      <c r="G82" s="75">
        <v>1193882322.9460001</v>
      </c>
      <c r="H82" s="22" t="s">
        <v>183</v>
      </c>
      <c r="I82" s="101"/>
      <c r="J82" s="101"/>
    </row>
    <row r="83" spans="2:10" s="22" customFormat="1" ht="15" x14ac:dyDescent="0.3">
      <c r="B83" s="110" t="s">
        <v>350</v>
      </c>
      <c r="C83" s="71" t="s">
        <v>351</v>
      </c>
      <c r="F83" s="75"/>
      <c r="G83" s="75"/>
      <c r="H83" s="101"/>
      <c r="I83" s="101"/>
      <c r="J83" s="101"/>
    </row>
    <row r="84" spans="2:10" s="22" customFormat="1" ht="15" x14ac:dyDescent="0.3">
      <c r="B84" s="110" t="s">
        <v>352</v>
      </c>
      <c r="C84" s="71" t="s">
        <v>353</v>
      </c>
      <c r="E84" s="22" t="s">
        <v>84</v>
      </c>
      <c r="F84" s="75" t="s">
        <v>452</v>
      </c>
      <c r="G84" s="75">
        <v>157.00800000000001</v>
      </c>
      <c r="H84" s="22" t="s">
        <v>183</v>
      </c>
      <c r="I84" s="101"/>
      <c r="J84" s="101"/>
    </row>
    <row r="85" spans="2:10" s="22" customFormat="1" ht="15" x14ac:dyDescent="0.3">
      <c r="B85" s="110" t="s">
        <v>352</v>
      </c>
      <c r="C85" s="71" t="s">
        <v>353</v>
      </c>
      <c r="E85" s="22" t="s">
        <v>85</v>
      </c>
      <c r="F85" s="75" t="s">
        <v>452</v>
      </c>
      <c r="G85" s="75">
        <v>117048374.50399999</v>
      </c>
      <c r="H85" s="22" t="s">
        <v>183</v>
      </c>
      <c r="I85" s="101"/>
      <c r="J85" s="101"/>
    </row>
    <row r="86" spans="2:10" s="22" customFormat="1" ht="15" x14ac:dyDescent="0.3">
      <c r="B86" s="110" t="s">
        <v>354</v>
      </c>
      <c r="C86" s="71" t="s">
        <v>355</v>
      </c>
      <c r="F86" s="75"/>
      <c r="G86" s="75"/>
      <c r="H86" s="101"/>
      <c r="I86" s="101"/>
      <c r="J86" s="101"/>
    </row>
    <row r="87" spans="2:10" s="22" customFormat="1" ht="15" x14ac:dyDescent="0.3">
      <c r="B87" s="110" t="s">
        <v>356</v>
      </c>
      <c r="C87" s="71" t="s">
        <v>357</v>
      </c>
      <c r="E87" s="22" t="s">
        <v>84</v>
      </c>
      <c r="F87" s="75" t="s">
        <v>452</v>
      </c>
      <c r="G87" s="75">
        <v>3886.7689999999998</v>
      </c>
      <c r="H87" s="22" t="s">
        <v>183</v>
      </c>
      <c r="I87" s="101"/>
      <c r="J87" s="101"/>
    </row>
    <row r="88" spans="2:10" s="22" customFormat="1" ht="15" x14ac:dyDescent="0.3">
      <c r="B88" s="110" t="s">
        <v>356</v>
      </c>
      <c r="C88" s="71" t="s">
        <v>357</v>
      </c>
      <c r="E88" s="22" t="s">
        <v>85</v>
      </c>
      <c r="F88" s="75" t="s">
        <v>452</v>
      </c>
      <c r="G88" s="75">
        <v>4916011047.875</v>
      </c>
      <c r="H88" s="22" t="s">
        <v>183</v>
      </c>
      <c r="I88" s="101"/>
      <c r="J88" s="101"/>
    </row>
    <row r="89" spans="2:10" s="22" customFormat="1" ht="15" x14ac:dyDescent="0.3">
      <c r="B89" s="110" t="s">
        <v>358</v>
      </c>
      <c r="C89" s="71" t="s">
        <v>359</v>
      </c>
      <c r="E89" s="22" t="s">
        <v>84</v>
      </c>
      <c r="F89" s="75" t="s">
        <v>452</v>
      </c>
      <c r="G89" s="75">
        <v>23652.420999999998</v>
      </c>
      <c r="H89" s="22" t="s">
        <v>183</v>
      </c>
      <c r="I89" s="101"/>
      <c r="J89" s="101"/>
    </row>
    <row r="90" spans="2:10" s="22" customFormat="1" ht="15" x14ac:dyDescent="0.3">
      <c r="B90" s="110" t="s">
        <v>358</v>
      </c>
      <c r="C90" s="71" t="s">
        <v>359</v>
      </c>
      <c r="E90" s="22" t="s">
        <v>85</v>
      </c>
      <c r="F90" s="75" t="s">
        <v>452</v>
      </c>
      <c r="G90" s="75">
        <v>350643456.09100002</v>
      </c>
      <c r="H90" s="22" t="s">
        <v>183</v>
      </c>
      <c r="I90" s="101"/>
      <c r="J90" s="101"/>
    </row>
    <row r="91" spans="2:10" s="22" customFormat="1" ht="15" x14ac:dyDescent="0.35">
      <c r="B91" s="71" t="s">
        <v>360</v>
      </c>
      <c r="C91" s="105" t="s">
        <v>361</v>
      </c>
      <c r="F91" s="111"/>
    </row>
    <row r="92" spans="2:10" s="22" customFormat="1" ht="15" x14ac:dyDescent="0.35">
      <c r="B92" s="71" t="s">
        <v>453</v>
      </c>
      <c r="C92" s="105" t="s">
        <v>363</v>
      </c>
      <c r="F92" s="111"/>
    </row>
    <row r="93" spans="2:10" s="22" customFormat="1" ht="15" x14ac:dyDescent="0.3">
      <c r="B93" s="110" t="s">
        <v>364</v>
      </c>
      <c r="C93" s="71" t="s">
        <v>365</v>
      </c>
      <c r="F93" s="75"/>
      <c r="G93" s="75"/>
      <c r="H93" s="101"/>
      <c r="I93" s="101"/>
      <c r="J93" s="101"/>
    </row>
    <row r="94" spans="2:10" s="22" customFormat="1" ht="15" x14ac:dyDescent="0.35">
      <c r="B94" s="71" t="s">
        <v>366</v>
      </c>
      <c r="C94" s="105" t="s">
        <v>367</v>
      </c>
      <c r="F94" s="111"/>
    </row>
    <row r="95" spans="2:10" s="22" customFormat="1" ht="15" x14ac:dyDescent="0.35">
      <c r="B95" s="71" t="s">
        <v>368</v>
      </c>
      <c r="C95" s="105" t="s">
        <v>369</v>
      </c>
      <c r="F95" s="111"/>
    </row>
    <row r="96" spans="2:10" s="22" customFormat="1" ht="15" x14ac:dyDescent="0.3">
      <c r="B96" s="110" t="s">
        <v>370</v>
      </c>
      <c r="C96" s="71" t="s">
        <v>371</v>
      </c>
      <c r="F96" s="75"/>
      <c r="G96" s="75"/>
      <c r="H96" s="101"/>
      <c r="I96" s="101"/>
      <c r="J96" s="101"/>
    </row>
    <row r="97" spans="2:10" s="22" customFormat="1" ht="15" x14ac:dyDescent="0.3">
      <c r="B97" s="110" t="s">
        <v>372</v>
      </c>
      <c r="C97" s="71" t="s">
        <v>373</v>
      </c>
      <c r="F97" s="75"/>
      <c r="G97" s="75"/>
      <c r="H97" s="101"/>
      <c r="I97" s="101"/>
      <c r="J97" s="101"/>
    </row>
    <row r="98" spans="2:10" s="22" customFormat="1" ht="15" x14ac:dyDescent="0.3">
      <c r="B98" s="110" t="s">
        <v>374</v>
      </c>
      <c r="C98" s="71" t="s">
        <v>375</v>
      </c>
      <c r="F98" s="75"/>
      <c r="G98" s="75"/>
      <c r="H98" s="101"/>
      <c r="I98" s="101"/>
      <c r="J98" s="101"/>
    </row>
    <row r="99" spans="2:10" s="22" customFormat="1" ht="15" x14ac:dyDescent="0.3">
      <c r="B99" s="110" t="s">
        <v>376</v>
      </c>
      <c r="C99" s="71" t="s">
        <v>377</v>
      </c>
      <c r="F99" s="75"/>
      <c r="G99" s="75"/>
      <c r="H99" s="101"/>
      <c r="I99" s="101"/>
      <c r="J99" s="101"/>
    </row>
    <row r="100" spans="2:10" s="22" customFormat="1" ht="15" x14ac:dyDescent="0.3">
      <c r="B100" s="110" t="s">
        <v>378</v>
      </c>
      <c r="C100" s="71" t="s">
        <v>379</v>
      </c>
      <c r="F100" s="75"/>
      <c r="G100" s="75"/>
      <c r="H100" s="101"/>
      <c r="I100" s="101"/>
      <c r="J100" s="101"/>
    </row>
    <row r="101" spans="2:10" s="22" customFormat="1" ht="15" x14ac:dyDescent="0.3">
      <c r="B101" s="110" t="s">
        <v>380</v>
      </c>
      <c r="C101" s="71" t="s">
        <v>381</v>
      </c>
      <c r="F101" s="75"/>
      <c r="G101" s="75"/>
      <c r="H101" s="101"/>
      <c r="I101" s="101"/>
      <c r="J101" s="101"/>
    </row>
    <row r="102" spans="2:10" s="22" customFormat="1" ht="15" x14ac:dyDescent="0.3">
      <c r="B102" s="110" t="s">
        <v>382</v>
      </c>
      <c r="C102" s="71" t="s">
        <v>383</v>
      </c>
      <c r="E102" s="22" t="s">
        <v>84</v>
      </c>
      <c r="F102" s="75" t="s">
        <v>452</v>
      </c>
      <c r="G102" s="75">
        <v>175669.33799999999</v>
      </c>
      <c r="H102" s="22" t="s">
        <v>183</v>
      </c>
      <c r="I102" s="101"/>
      <c r="J102" s="101"/>
    </row>
    <row r="103" spans="2:10" s="22" customFormat="1" ht="15" x14ac:dyDescent="0.3">
      <c r="B103" s="110" t="s">
        <v>382</v>
      </c>
      <c r="C103" s="71" t="s">
        <v>383</v>
      </c>
      <c r="E103" s="22" t="s">
        <v>85</v>
      </c>
      <c r="F103" s="75" t="s">
        <v>452</v>
      </c>
      <c r="G103" s="75">
        <v>3812822464.5890002</v>
      </c>
      <c r="H103" s="22" t="s">
        <v>183</v>
      </c>
      <c r="I103" s="101"/>
      <c r="J103" s="101"/>
    </row>
    <row r="104" spans="2:10" s="22" customFormat="1" ht="15" x14ac:dyDescent="0.3">
      <c r="B104" s="110" t="s">
        <v>384</v>
      </c>
      <c r="C104" s="101" t="s">
        <v>385</v>
      </c>
      <c r="F104" s="75"/>
      <c r="G104" s="75"/>
      <c r="H104" s="101"/>
      <c r="I104" s="101"/>
      <c r="J104" s="101"/>
    </row>
    <row r="105" spans="2:10" s="22" customFormat="1" ht="15" x14ac:dyDescent="0.3">
      <c r="B105" s="110" t="s">
        <v>386</v>
      </c>
      <c r="C105" s="101" t="s">
        <v>387</v>
      </c>
      <c r="F105" s="75"/>
      <c r="G105" s="75"/>
      <c r="H105" s="101"/>
      <c r="I105" s="101"/>
      <c r="J105" s="101"/>
    </row>
    <row r="106" spans="2:10" s="22" customFormat="1" ht="15" x14ac:dyDescent="0.3">
      <c r="B106" s="110" t="s">
        <v>388</v>
      </c>
      <c r="C106" s="71" t="s">
        <v>389</v>
      </c>
      <c r="F106" s="75"/>
      <c r="G106" s="75"/>
      <c r="H106" s="101"/>
      <c r="I106" s="101"/>
      <c r="J106" s="101"/>
    </row>
    <row r="107" spans="2:10" s="22" customFormat="1" ht="15" x14ac:dyDescent="0.3">
      <c r="B107" s="110" t="s">
        <v>390</v>
      </c>
      <c r="C107" s="71" t="s">
        <v>391</v>
      </c>
      <c r="F107" s="75"/>
      <c r="G107" s="75"/>
      <c r="H107" s="101"/>
      <c r="I107" s="101"/>
      <c r="J107" s="101"/>
    </row>
    <row r="108" spans="2:10" s="22" customFormat="1" ht="15" x14ac:dyDescent="0.3">
      <c r="B108" s="110" t="s">
        <v>392</v>
      </c>
      <c r="C108" s="71" t="s">
        <v>393</v>
      </c>
      <c r="E108" s="22" t="s">
        <v>84</v>
      </c>
      <c r="F108" s="75" t="s">
        <v>452</v>
      </c>
      <c r="G108" s="75">
        <v>31419.758999999998</v>
      </c>
      <c r="H108" s="22" t="s">
        <v>183</v>
      </c>
      <c r="I108" s="101"/>
      <c r="J108" s="101"/>
    </row>
    <row r="109" spans="2:10" s="22" customFormat="1" ht="15" x14ac:dyDescent="0.3">
      <c r="B109" s="110" t="s">
        <v>392</v>
      </c>
      <c r="C109" s="71" t="s">
        <v>393</v>
      </c>
      <c r="E109" s="22" t="s">
        <v>85</v>
      </c>
      <c r="F109" s="75" t="s">
        <v>452</v>
      </c>
      <c r="G109" s="75">
        <v>800218641.926</v>
      </c>
      <c r="H109" s="22" t="s">
        <v>183</v>
      </c>
      <c r="I109" s="101"/>
      <c r="J109" s="101"/>
    </row>
    <row r="110" spans="2:10" s="22" customFormat="1" ht="15" x14ac:dyDescent="0.3">
      <c r="B110" s="110" t="s">
        <v>394</v>
      </c>
      <c r="C110" s="71" t="s">
        <v>395</v>
      </c>
      <c r="E110" s="22" t="s">
        <v>85</v>
      </c>
      <c r="F110" s="75" t="s">
        <v>452</v>
      </c>
      <c r="G110" s="75">
        <v>277121898.01700002</v>
      </c>
      <c r="H110" s="22" t="s">
        <v>183</v>
      </c>
      <c r="I110" s="101"/>
      <c r="J110" s="101"/>
    </row>
    <row r="111" spans="2:10" s="22" customFormat="1" ht="15" x14ac:dyDescent="0.3">
      <c r="B111" s="110" t="s">
        <v>396</v>
      </c>
      <c r="C111" s="71" t="s">
        <v>397</v>
      </c>
      <c r="E111" s="22" t="s">
        <v>84</v>
      </c>
      <c r="F111" s="75" t="s">
        <v>452</v>
      </c>
      <c r="G111" s="75">
        <v>53340.487999999998</v>
      </c>
      <c r="H111" s="22" t="s">
        <v>183</v>
      </c>
      <c r="I111" s="101"/>
      <c r="J111" s="101"/>
    </row>
    <row r="112" spans="2:10" s="22" customFormat="1" ht="15" x14ac:dyDescent="0.3">
      <c r="B112" s="110" t="s">
        <v>396</v>
      </c>
      <c r="C112" s="71" t="s">
        <v>397</v>
      </c>
      <c r="E112" s="22" t="s">
        <v>85</v>
      </c>
      <c r="F112" s="75" t="s">
        <v>452</v>
      </c>
      <c r="G112" s="75">
        <v>2158884787.5349998</v>
      </c>
      <c r="H112" s="22" t="s">
        <v>183</v>
      </c>
      <c r="I112" s="101"/>
      <c r="J112" s="101"/>
    </row>
    <row r="113" spans="2:10" s="22" customFormat="1" ht="15" x14ac:dyDescent="0.3">
      <c r="B113" s="110" t="s">
        <v>398</v>
      </c>
      <c r="C113" s="71" t="s">
        <v>399</v>
      </c>
      <c r="E113" s="22" t="s">
        <v>84</v>
      </c>
      <c r="F113" s="75" t="s">
        <v>452</v>
      </c>
      <c r="G113" s="75">
        <v>0</v>
      </c>
      <c r="H113" s="22" t="s">
        <v>215</v>
      </c>
      <c r="I113" s="101"/>
      <c r="J113" s="101"/>
    </row>
    <row r="114" spans="2:10" s="22" customFormat="1" ht="15" x14ac:dyDescent="0.3">
      <c r="B114" s="110" t="s">
        <v>398</v>
      </c>
      <c r="C114" s="71" t="s">
        <v>399</v>
      </c>
      <c r="E114" s="22" t="s">
        <v>85</v>
      </c>
      <c r="F114" s="75" t="s">
        <v>452</v>
      </c>
      <c r="G114" s="75">
        <v>983323087.81900001</v>
      </c>
      <c r="H114" s="22" t="s">
        <v>183</v>
      </c>
      <c r="I114" s="101"/>
      <c r="J114" s="101"/>
    </row>
    <row r="115" spans="2:10" s="22" customFormat="1" ht="15" x14ac:dyDescent="0.3">
      <c r="B115" s="110" t="s">
        <v>400</v>
      </c>
      <c r="C115" s="71" t="s">
        <v>401</v>
      </c>
      <c r="E115" s="22" t="s">
        <v>84</v>
      </c>
      <c r="F115" s="75" t="s">
        <v>452</v>
      </c>
      <c r="G115" s="75">
        <v>493.49700000000001</v>
      </c>
      <c r="H115" s="22" t="s">
        <v>183</v>
      </c>
      <c r="I115" s="101"/>
      <c r="J115" s="101"/>
    </row>
    <row r="116" spans="2:10" s="22" customFormat="1" ht="15" x14ac:dyDescent="0.3">
      <c r="B116" s="110" t="s">
        <v>400</v>
      </c>
      <c r="C116" s="71" t="s">
        <v>401</v>
      </c>
      <c r="E116" s="22" t="s">
        <v>85</v>
      </c>
      <c r="F116" s="75" t="s">
        <v>452</v>
      </c>
      <c r="G116" s="75">
        <v>69107138.810000002</v>
      </c>
      <c r="H116" s="22" t="s">
        <v>183</v>
      </c>
      <c r="I116" s="101"/>
      <c r="J116" s="101"/>
    </row>
    <row r="117" spans="2:10" s="22" customFormat="1" ht="15" x14ac:dyDescent="0.3">
      <c r="B117" s="110" t="s">
        <v>402</v>
      </c>
      <c r="C117" s="71" t="s">
        <v>403</v>
      </c>
      <c r="E117" s="22" t="s">
        <v>404</v>
      </c>
      <c r="F117" s="75" t="s">
        <v>452</v>
      </c>
      <c r="G117" s="75">
        <v>113227.13</v>
      </c>
      <c r="H117" s="22" t="s">
        <v>183</v>
      </c>
      <c r="I117" s="101"/>
      <c r="J117" s="101"/>
    </row>
    <row r="118" spans="2:10" s="22" customFormat="1" ht="15" x14ac:dyDescent="0.3">
      <c r="B118" s="110" t="s">
        <v>405</v>
      </c>
      <c r="C118" s="71" t="s">
        <v>406</v>
      </c>
      <c r="F118" s="75"/>
      <c r="G118" s="75"/>
      <c r="H118" s="101"/>
      <c r="I118" s="101"/>
      <c r="J118" s="101"/>
    </row>
    <row r="119" spans="2:10" s="22" customFormat="1" ht="15" x14ac:dyDescent="0.3">
      <c r="B119" s="110" t="s">
        <v>407</v>
      </c>
      <c r="C119" s="71" t="s">
        <v>408</v>
      </c>
      <c r="F119" s="75"/>
      <c r="G119" s="75"/>
      <c r="H119" s="101"/>
      <c r="I119" s="101"/>
      <c r="J119" s="101"/>
    </row>
    <row r="120" spans="2:10" s="22" customFormat="1" ht="15" x14ac:dyDescent="0.3">
      <c r="B120" s="110" t="s">
        <v>409</v>
      </c>
      <c r="C120" s="71" t="s">
        <v>410</v>
      </c>
      <c r="F120" s="75"/>
      <c r="G120" s="75"/>
      <c r="H120" s="101"/>
      <c r="I120" s="101"/>
      <c r="J120" s="101"/>
    </row>
    <row r="121" spans="2:10" s="22" customFormat="1" ht="15" x14ac:dyDescent="0.3">
      <c r="B121" s="110" t="s">
        <v>413</v>
      </c>
      <c r="C121" s="71" t="s">
        <v>414</v>
      </c>
      <c r="F121" s="75"/>
      <c r="G121" s="75"/>
      <c r="H121" s="101"/>
      <c r="I121" s="101"/>
      <c r="J121" s="101"/>
    </row>
    <row r="122" spans="2:10" s="22" customFormat="1" ht="15" x14ac:dyDescent="0.3">
      <c r="B122" s="110" t="s">
        <v>415</v>
      </c>
      <c r="C122" s="71" t="s">
        <v>416</v>
      </c>
      <c r="E122" s="22" t="s">
        <v>84</v>
      </c>
      <c r="F122" s="75" t="s">
        <v>452</v>
      </c>
      <c r="G122" s="75">
        <v>0</v>
      </c>
      <c r="H122" s="22" t="s">
        <v>215</v>
      </c>
      <c r="I122" s="101"/>
      <c r="J122" s="101"/>
    </row>
    <row r="123" spans="2:10" s="22" customFormat="1" ht="15" x14ac:dyDescent="0.3">
      <c r="B123" s="110" t="s">
        <v>415</v>
      </c>
      <c r="C123" s="71" t="s">
        <v>416</v>
      </c>
      <c r="E123" s="22" t="s">
        <v>85</v>
      </c>
      <c r="F123" s="75" t="s">
        <v>452</v>
      </c>
      <c r="G123" s="75">
        <v>0</v>
      </c>
      <c r="H123" s="22" t="s">
        <v>454</v>
      </c>
      <c r="I123" s="101"/>
      <c r="J123" s="101"/>
    </row>
    <row r="124" spans="2:10" s="22" customFormat="1" ht="15" x14ac:dyDescent="0.35">
      <c r="B124" s="71" t="s">
        <v>417</v>
      </c>
      <c r="C124" s="105" t="s">
        <v>418</v>
      </c>
      <c r="E124" s="22" t="s">
        <v>84</v>
      </c>
      <c r="F124" s="75" t="s">
        <v>452</v>
      </c>
      <c r="G124" s="75">
        <v>1597906.611</v>
      </c>
      <c r="H124" s="22" t="s">
        <v>183</v>
      </c>
    </row>
    <row r="125" spans="2:10" s="22" customFormat="1" ht="15" x14ac:dyDescent="0.35">
      <c r="B125" s="71" t="s">
        <v>417</v>
      </c>
      <c r="C125" s="105" t="s">
        <v>418</v>
      </c>
      <c r="E125" s="22" t="s">
        <v>85</v>
      </c>
      <c r="F125" s="75" t="s">
        <v>452</v>
      </c>
      <c r="G125" s="75">
        <v>161501048.15900001</v>
      </c>
      <c r="H125" s="22" t="s">
        <v>183</v>
      </c>
    </row>
    <row r="126" spans="2:10" s="22" customFormat="1" ht="15" x14ac:dyDescent="0.3">
      <c r="B126" s="110" t="s">
        <v>419</v>
      </c>
      <c r="C126" s="71" t="s">
        <v>420</v>
      </c>
      <c r="E126" s="22" t="s">
        <v>84</v>
      </c>
      <c r="F126" s="75" t="s">
        <v>452</v>
      </c>
      <c r="G126" s="75">
        <v>9935.2919999999995</v>
      </c>
      <c r="H126" s="22" t="s">
        <v>183</v>
      </c>
      <c r="I126" s="101"/>
      <c r="J126" s="101"/>
    </row>
    <row r="127" spans="2:10" s="22" customFormat="1" ht="15" x14ac:dyDescent="0.3">
      <c r="B127" s="110" t="s">
        <v>421</v>
      </c>
      <c r="C127" s="71" t="s">
        <v>422</v>
      </c>
      <c r="E127" s="22" t="s">
        <v>404</v>
      </c>
      <c r="F127" s="75" t="s">
        <v>452</v>
      </c>
      <c r="G127" s="75">
        <v>77360.805999999997</v>
      </c>
      <c r="H127" s="22" t="s">
        <v>183</v>
      </c>
      <c r="I127" s="101"/>
      <c r="J127" s="101"/>
    </row>
    <row r="128" spans="2:10" s="22" customFormat="1" ht="15" x14ac:dyDescent="0.3">
      <c r="B128" s="110" t="s">
        <v>423</v>
      </c>
      <c r="C128" s="71" t="s">
        <v>424</v>
      </c>
      <c r="E128" s="22" t="s">
        <v>84</v>
      </c>
      <c r="F128" s="75" t="s">
        <v>452</v>
      </c>
      <c r="G128" s="75">
        <v>543254.11300000001</v>
      </c>
      <c r="H128" s="22" t="s">
        <v>183</v>
      </c>
      <c r="I128" s="101"/>
      <c r="J128" s="101"/>
    </row>
    <row r="129" spans="2:10" s="22" customFormat="1" ht="15" x14ac:dyDescent="0.3">
      <c r="B129" s="110" t="s">
        <v>423</v>
      </c>
      <c r="C129" s="71" t="s">
        <v>424</v>
      </c>
      <c r="E129" s="22" t="s">
        <v>85</v>
      </c>
      <c r="F129" s="75" t="s">
        <v>452</v>
      </c>
      <c r="G129" s="75">
        <v>202069575.07100001</v>
      </c>
      <c r="H129" s="22" t="s">
        <v>183</v>
      </c>
      <c r="I129" s="101"/>
      <c r="J129" s="101"/>
    </row>
    <row r="130" spans="2:10" s="22" customFormat="1" ht="15" x14ac:dyDescent="0.3">
      <c r="B130" s="110" t="s">
        <v>425</v>
      </c>
      <c r="C130" s="71" t="s">
        <v>426</v>
      </c>
      <c r="F130" s="75"/>
      <c r="G130" s="75"/>
      <c r="H130" s="101"/>
      <c r="I130" s="101"/>
      <c r="J130" s="101"/>
    </row>
    <row r="131" spans="2:10" s="22" customFormat="1" ht="15" x14ac:dyDescent="0.3">
      <c r="B131" s="110" t="s">
        <v>427</v>
      </c>
      <c r="C131" s="71" t="s">
        <v>428</v>
      </c>
      <c r="E131" s="22" t="s">
        <v>84</v>
      </c>
      <c r="F131" s="75" t="s">
        <v>452</v>
      </c>
      <c r="G131" s="75">
        <v>70243.41</v>
      </c>
      <c r="H131" s="22" t="s">
        <v>183</v>
      </c>
      <c r="I131" s="101"/>
      <c r="J131" s="101"/>
    </row>
    <row r="132" spans="2:10" s="22" customFormat="1" ht="15" x14ac:dyDescent="0.3">
      <c r="B132" s="110" t="s">
        <v>429</v>
      </c>
      <c r="C132" s="71" t="s">
        <v>430</v>
      </c>
      <c r="F132" s="75"/>
      <c r="G132" s="75"/>
      <c r="H132" s="101"/>
      <c r="I132" s="101"/>
      <c r="J132" s="101"/>
    </row>
    <row r="133" spans="2:10" s="22" customFormat="1" ht="15" x14ac:dyDescent="0.3">
      <c r="B133" s="110" t="s">
        <v>431</v>
      </c>
      <c r="C133" s="71" t="s">
        <v>432</v>
      </c>
      <c r="E133" s="22" t="s">
        <v>84</v>
      </c>
      <c r="F133" s="75" t="s">
        <v>452</v>
      </c>
      <c r="G133" s="75">
        <v>123717.924</v>
      </c>
      <c r="H133" s="22" t="s">
        <v>183</v>
      </c>
      <c r="I133" s="101"/>
      <c r="J133" s="101"/>
    </row>
    <row r="134" spans="2:10" s="22" customFormat="1" ht="15" x14ac:dyDescent="0.3">
      <c r="B134" s="110" t="s">
        <v>433</v>
      </c>
      <c r="C134" s="71" t="s">
        <v>434</v>
      </c>
      <c r="E134" s="22" t="s">
        <v>436</v>
      </c>
      <c r="F134" s="75" t="s">
        <v>452</v>
      </c>
      <c r="G134" s="75">
        <v>471443.84299999999</v>
      </c>
      <c r="H134" s="22" t="s">
        <v>191</v>
      </c>
      <c r="I134" s="101"/>
      <c r="J134" s="101"/>
    </row>
    <row r="135" spans="2:10" s="22" customFormat="1" ht="15" x14ac:dyDescent="0.3">
      <c r="B135" s="110" t="s">
        <v>437</v>
      </c>
      <c r="C135" s="101" t="s">
        <v>438</v>
      </c>
      <c r="E135" s="22" t="s">
        <v>439</v>
      </c>
      <c r="F135" s="75" t="s">
        <v>452</v>
      </c>
      <c r="G135" s="75">
        <v>144679.886</v>
      </c>
      <c r="H135" s="22" t="s">
        <v>191</v>
      </c>
      <c r="I135" s="101"/>
      <c r="J135" s="101"/>
    </row>
    <row r="136" spans="2:10" s="22" customFormat="1" ht="15" x14ac:dyDescent="0.3">
      <c r="B136" s="110" t="s">
        <v>440</v>
      </c>
      <c r="C136" s="71" t="s">
        <v>441</v>
      </c>
      <c r="E136" s="22" t="s">
        <v>436</v>
      </c>
      <c r="F136" s="75" t="s">
        <v>452</v>
      </c>
      <c r="G136" s="75">
        <v>132341.27799999999</v>
      </c>
      <c r="H136" s="22" t="s">
        <v>191</v>
      </c>
    </row>
    <row r="137" spans="2:10" s="22" customFormat="1" ht="15.6" thickBot="1" x14ac:dyDescent="0.35">
      <c r="B137" s="59"/>
      <c r="C137" s="55"/>
      <c r="D137" s="56"/>
      <c r="E137" s="55"/>
      <c r="F137" s="57"/>
      <c r="G137" s="57"/>
      <c r="H137" s="57"/>
      <c r="I137" s="57"/>
      <c r="J137" s="57"/>
    </row>
    <row r="138" spans="2:10" ht="15" x14ac:dyDescent="0.3">
      <c r="B138" s="16"/>
      <c r="C138" s="16"/>
      <c r="D138" s="16"/>
      <c r="E138" s="16"/>
      <c r="F138" s="101"/>
      <c r="G138" s="101"/>
      <c r="H138" s="101"/>
      <c r="I138" s="101"/>
      <c r="J138" s="101"/>
    </row>
    <row r="139" spans="2:10" s="22" customFormat="1" ht="15.6" thickBot="1" x14ac:dyDescent="0.35">
      <c r="B139" s="297" t="s">
        <v>33</v>
      </c>
      <c r="C139" s="298"/>
      <c r="D139" s="298"/>
      <c r="E139" s="298"/>
      <c r="F139" s="298"/>
      <c r="G139" s="298"/>
      <c r="H139" s="298"/>
      <c r="I139" s="298"/>
      <c r="J139" s="298"/>
    </row>
    <row r="140" spans="2:10" s="22" customFormat="1" ht="15" x14ac:dyDescent="0.3">
      <c r="B140" s="299" t="s">
        <v>34</v>
      </c>
      <c r="C140" s="300"/>
      <c r="D140" s="300"/>
      <c r="E140" s="300"/>
      <c r="F140" s="300"/>
      <c r="G140" s="300"/>
      <c r="H140" s="300"/>
      <c r="I140" s="300"/>
      <c r="J140" s="300"/>
    </row>
    <row r="141" spans="2:10" ht="15.6" thickBot="1" x14ac:dyDescent="0.35">
      <c r="B141" s="16"/>
      <c r="C141" s="16"/>
      <c r="D141" s="16"/>
      <c r="E141" s="16"/>
      <c r="F141" s="101"/>
      <c r="G141" s="101"/>
      <c r="H141" s="101"/>
      <c r="I141" s="101"/>
      <c r="J141" s="101"/>
    </row>
    <row r="142" spans="2:10" ht="15" x14ac:dyDescent="0.3">
      <c r="B142" s="311" t="s">
        <v>35</v>
      </c>
      <c r="C142" s="311"/>
      <c r="D142" s="311"/>
      <c r="E142" s="311"/>
      <c r="F142" s="311"/>
      <c r="G142" s="311"/>
      <c r="H142" s="311"/>
      <c r="I142" s="311"/>
      <c r="J142" s="311"/>
    </row>
    <row r="143" spans="2:10" ht="16.5" customHeight="1" x14ac:dyDescent="0.3">
      <c r="B143" s="274" t="s">
        <v>36</v>
      </c>
      <c r="C143" s="274"/>
      <c r="D143" s="274"/>
      <c r="E143" s="274"/>
      <c r="F143" s="274"/>
      <c r="G143" s="274"/>
      <c r="H143" s="274"/>
      <c r="I143" s="274"/>
      <c r="J143" s="274"/>
    </row>
    <row r="144" spans="2:10" ht="15" x14ac:dyDescent="0.3">
      <c r="B144" s="301" t="s">
        <v>38</v>
      </c>
      <c r="C144" s="301"/>
      <c r="D144" s="301"/>
      <c r="E144" s="301"/>
      <c r="F144" s="301"/>
      <c r="G144" s="301"/>
      <c r="H144" s="301"/>
      <c r="I144" s="301"/>
      <c r="J144" s="301"/>
    </row>
    <row r="145" spans="2:10" ht="15" x14ac:dyDescent="0.3">
      <c r="B145" s="302"/>
      <c r="C145" s="302"/>
      <c r="D145" s="302"/>
      <c r="E145" s="302"/>
      <c r="F145" s="302"/>
      <c r="G145" s="302"/>
      <c r="H145" s="302"/>
      <c r="I145" s="302"/>
      <c r="J145" s="302"/>
    </row>
    <row r="146" spans="2:10" ht="15" x14ac:dyDescent="0.3">
      <c r="B146" s="101"/>
      <c r="C146" s="101"/>
      <c r="D146" s="101"/>
      <c r="E146" s="101"/>
      <c r="F146" s="101"/>
      <c r="G146" s="101"/>
      <c r="H146" s="101"/>
      <c r="I146" s="101"/>
      <c r="J146" s="101"/>
    </row>
    <row r="147" spans="2:10" ht="15" x14ac:dyDescent="0.3">
      <c r="B147" s="101"/>
      <c r="C147" s="101"/>
      <c r="D147" s="101"/>
      <c r="E147" s="101"/>
      <c r="F147" s="101"/>
      <c r="G147" s="101"/>
      <c r="H147" s="101"/>
      <c r="I147" s="101"/>
      <c r="J147" s="101"/>
    </row>
    <row r="148" spans="2:10" ht="15" x14ac:dyDescent="0.3">
      <c r="B148" s="101"/>
      <c r="C148" s="101"/>
      <c r="D148" s="101"/>
      <c r="E148" s="101"/>
      <c r="F148" s="101"/>
      <c r="G148" s="101"/>
      <c r="H148" s="101"/>
      <c r="I148" s="101"/>
      <c r="J148" s="101"/>
    </row>
    <row r="149" spans="2:10" ht="15" x14ac:dyDescent="0.3">
      <c r="B149" s="101"/>
      <c r="C149" s="101"/>
      <c r="D149" s="101"/>
      <c r="E149" s="101"/>
      <c r="F149" s="101"/>
      <c r="G149" s="101"/>
      <c r="H149" s="101"/>
      <c r="I149" s="101"/>
      <c r="J149" s="101"/>
    </row>
    <row r="150" spans="2:10" s="22" customFormat="1" ht="15" x14ac:dyDescent="0.3">
      <c r="B150" s="101"/>
      <c r="C150" s="101"/>
      <c r="D150" s="101"/>
      <c r="E150" s="101"/>
    </row>
    <row r="151" spans="2:10" ht="15" x14ac:dyDescent="0.3">
      <c r="B151" s="101"/>
      <c r="C151" s="101"/>
      <c r="D151" s="101"/>
      <c r="E151" s="101"/>
      <c r="F151" s="101"/>
      <c r="G151" s="101"/>
      <c r="H151" s="101"/>
      <c r="I151" s="101"/>
      <c r="J151" s="101"/>
    </row>
    <row r="152" spans="2:10" ht="15" x14ac:dyDescent="0.3">
      <c r="B152" s="101"/>
      <c r="C152" s="101"/>
      <c r="D152" s="101"/>
      <c r="E152" s="101"/>
      <c r="F152" s="101"/>
      <c r="G152" s="101"/>
      <c r="H152" s="101"/>
      <c r="I152" s="101"/>
      <c r="J152" s="101"/>
    </row>
    <row r="153" spans="2:10" ht="15" x14ac:dyDescent="0.3">
      <c r="B153" s="101"/>
      <c r="C153" s="101"/>
      <c r="D153" s="101"/>
      <c r="E153" s="101"/>
      <c r="F153" s="101"/>
      <c r="G153" s="101"/>
      <c r="H153" s="101"/>
      <c r="I153" s="101"/>
      <c r="J153" s="101"/>
    </row>
    <row r="154" spans="2:10" ht="15" x14ac:dyDescent="0.3">
      <c r="B154" s="101"/>
      <c r="C154" s="101"/>
      <c r="D154" s="101"/>
      <c r="E154" s="101"/>
      <c r="F154" s="101"/>
      <c r="G154" s="101"/>
      <c r="H154" s="101"/>
      <c r="I154" s="101"/>
      <c r="J154" s="101"/>
    </row>
    <row r="155" spans="2:10" ht="15" x14ac:dyDescent="0.3">
      <c r="B155" s="101"/>
      <c r="C155" s="101"/>
      <c r="D155" s="101"/>
      <c r="E155" s="101"/>
      <c r="F155" s="101"/>
      <c r="G155" s="101"/>
      <c r="H155" s="101"/>
      <c r="I155" s="101"/>
      <c r="J155" s="101"/>
    </row>
    <row r="156" spans="2:10" ht="15" x14ac:dyDescent="0.3">
      <c r="B156" s="101"/>
      <c r="C156" s="101"/>
      <c r="D156" s="101"/>
      <c r="E156" s="101"/>
      <c r="F156" s="101"/>
      <c r="G156" s="101"/>
      <c r="H156" s="101"/>
      <c r="I156" s="101"/>
      <c r="J156" s="101"/>
    </row>
    <row r="157" spans="2:10" ht="15" x14ac:dyDescent="0.3">
      <c r="B157" s="101"/>
      <c r="C157" s="101"/>
      <c r="D157" s="101"/>
      <c r="E157" s="101"/>
      <c r="F157" s="101"/>
      <c r="G157" s="101"/>
      <c r="H157" s="101"/>
      <c r="I157" s="101"/>
      <c r="J157" s="101"/>
    </row>
    <row r="158" spans="2:10" ht="15" customHeight="1" x14ac:dyDescent="0.3">
      <c r="B158" s="101"/>
      <c r="C158" s="101"/>
      <c r="D158" s="101"/>
      <c r="E158" s="101"/>
      <c r="F158" s="101"/>
      <c r="G158" s="101"/>
      <c r="H158" s="101"/>
      <c r="I158" s="101"/>
      <c r="J158" s="101"/>
    </row>
    <row r="159" spans="2:10" ht="15" customHeight="1" x14ac:dyDescent="0.3">
      <c r="B159" s="101"/>
      <c r="C159" s="101"/>
      <c r="D159" s="101"/>
      <c r="E159" s="101"/>
      <c r="F159" s="101"/>
      <c r="G159" s="101"/>
      <c r="H159" s="101"/>
      <c r="I159" s="101"/>
      <c r="J159" s="101"/>
    </row>
    <row r="160" spans="2:10" ht="15" x14ac:dyDescent="0.3"/>
    <row r="161" ht="15" x14ac:dyDescent="0.3"/>
    <row r="162" ht="18.75" customHeight="1" x14ac:dyDescent="0.3"/>
    <row r="163" ht="15" x14ac:dyDescent="0.3"/>
    <row r="164" ht="15" x14ac:dyDescent="0.3"/>
    <row r="165" ht="15" x14ac:dyDescent="0.3"/>
    <row r="166" ht="15" x14ac:dyDescent="0.3"/>
    <row r="167" ht="15" x14ac:dyDescent="0.3"/>
    <row r="168" ht="15" x14ac:dyDescent="0.3"/>
    <row r="169" ht="15" x14ac:dyDescent="0.3"/>
    <row r="170" ht="15" x14ac:dyDescent="0.3"/>
    <row r="171" ht="15" x14ac:dyDescent="0.3"/>
    <row r="172" ht="15" x14ac:dyDescent="0.3"/>
    <row r="173" ht="15" x14ac:dyDescent="0.3"/>
    <row r="174" ht="15" x14ac:dyDescent="0.3"/>
    <row r="175" ht="15" x14ac:dyDescent="0.3"/>
    <row r="176" ht="15" x14ac:dyDescent="0.3"/>
    <row r="177" ht="15" x14ac:dyDescent="0.3"/>
    <row r="178" ht="15" x14ac:dyDescent="0.3"/>
    <row r="179" ht="15" x14ac:dyDescent="0.3"/>
    <row r="180" ht="15" x14ac:dyDescent="0.3"/>
    <row r="181" ht="15" x14ac:dyDescent="0.3"/>
    <row r="182" ht="15" x14ac:dyDescent="0.3"/>
    <row r="183" ht="15" x14ac:dyDescent="0.3"/>
  </sheetData>
  <protectedRanges>
    <protectedRange algorithmName="SHA-512" hashValue="19r0bVvPR7yZA0UiYij7Tv1CBk3noIABvFePbLhCJ4nk3L6A+Fy+RdPPS3STf+a52x4pG2PQK4FAkXK9epnlIA==" saltValue="gQC4yrLvnbJqxYZ0KSEoZA==" spinCount="100000" sqref="B17" name="Government revenues_3"/>
  </protectedRanges>
  <mergeCells count="20">
    <mergeCell ref="B2:J2"/>
    <mergeCell ref="B3:J3"/>
    <mergeCell ref="B4:J4"/>
    <mergeCell ref="B5:J5"/>
    <mergeCell ref="B6:J6"/>
    <mergeCell ref="B144:J144"/>
    <mergeCell ref="B145:J145"/>
    <mergeCell ref="B7:J7"/>
    <mergeCell ref="B8:J8"/>
    <mergeCell ref="B10:J10"/>
    <mergeCell ref="B11:J11"/>
    <mergeCell ref="B12:J12"/>
    <mergeCell ref="B74:J74"/>
    <mergeCell ref="B139:J139"/>
    <mergeCell ref="B140:J140"/>
    <mergeCell ref="B13:J13"/>
    <mergeCell ref="B19:J19"/>
    <mergeCell ref="B20:D20"/>
    <mergeCell ref="B142:J142"/>
    <mergeCell ref="B143:J143"/>
  </mergeCells>
  <dataValidations count="21">
    <dataValidation type="list" allowBlank="1" showInputMessage="1" showErrorMessage="1" promptTitle="Please select Sector" prompt="Please select the relevant sector of the company from the list" sqref="D76:D112 D115:D136" xr:uid="{868FFED3-1B0C-4918-8778-E1FA1953F99F}">
      <formula1>Sector_list</formula1>
    </dataValidation>
    <dataValidation allowBlank="1" showInputMessage="1" showErrorMessage="1" promptTitle="Company name" prompt="Input company name here._x000a__x000a_Please refrain from using acronyms, and input complete name." sqref="B63:B72 B93 B76:B90 B96:B123 B24:B33 B36 B39:B61 B126:B136" xr:uid="{C350F0E4-4E62-4F30-B87E-F27D6B9371A9}"/>
    <dataValidation allowBlank="1" showInputMessage="1" showErrorMessage="1" promptTitle="Identification #" prompt="Please input unique identification number, such as TIN, organisational number or similar" sqref="D63:D72 C93 C76:C90 C96:C123 D24:D33 D36 D39:D61 C126:C136 B21" xr:uid="{4120235B-D2FD-4BFD-ABFB-C2C2C7807A6F}"/>
    <dataValidation allowBlank="1" showInputMessage="1" showErrorMessage="1" promptTitle="Please insert commodities" prompt="Please insert the relevant commodities of the company here, separated by commas." sqref="E24:F72 D113:E114 E76:E112 E115:E136 H122:H123 H131 H113 H133 H127:H128" xr:uid="{6A44821C-9A13-4D03-9DBE-3FE545535EDF}"/>
    <dataValidation allowBlank="1" showInputMessage="1" showErrorMessage="1" promptTitle="Project name" prompt="Input project name here._x000a__x000a_Please refrain from using acronyms, and input complete name." sqref="B91:B92 B94:B95 B62 B34:B35 B37:B38 B124:B125" xr:uid="{F99FE9B0-5192-4241-983B-FDB53885E318}"/>
    <dataValidation allowBlank="1" showInputMessage="1" showErrorMessage="1" promptTitle="Name of register" prompt="Please input name of register or agency" sqref="C21" xr:uid="{5088AAF8-D660-48B6-A5A0-4630DDBD8E9C}"/>
    <dataValidation allowBlank="1" showInputMessage="1" showErrorMessage="1" promptTitle="Registry URL" prompt="Please insert direct URL to the registry or agency" sqref="D21" xr:uid="{A7D4AC68-A245-49BE-B706-C7C76BB5669E}"/>
    <dataValidation allowBlank="1" showInputMessage="1" showErrorMessage="1" promptTitle="Reference number" prompt="Please input the reference number of the legal agreement: contract, licence, lease, concession..." sqref="C91:C92 C94:C95 D62 D34:D35 D37:D38 C124:C125" xr:uid="{FF6DDDEB-45F7-4DC8-8F55-BED4849AE1BE}"/>
    <dataValidation type="textLength" allowBlank="1" showInputMessage="1" showErrorMessage="1" errorTitle="Please do not edit these cells" error="Please do not edit these cells" sqref="C20:D20" xr:uid="{81EFF6B9-0948-4ED1-9FAA-6EA0DE53E4C0}">
      <formula1>10000</formula1>
      <formula2>50000</formula2>
    </dataValidation>
    <dataValidation errorStyle="warning" allowBlank="1" showInputMessage="1" showErrorMessage="1" errorTitle="URL " error="Please input a link in these cells" sqref="H36 F93:G93 F76:G90 H28:H30 H32 H57 H67:H69 H50:H55 H60 G96:G123 G126:G136 F96:F136" xr:uid="{900097FA-9B5D-417A-9DC5-30D28C0778EB}"/>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94:H95 H129 H78:H79 H81:H82 H84:H85 H87:H92 H102:H103 H108:H112 H114:H117 H124:H126 H134:H136" xr:uid="{8671A7B4-FBEE-40B4-83E1-8302DA427313}">
      <formula1>"&lt;Select unit&gt;,Sm3,Sm3 o.e.,Barrels,Tonnes,oz,carats,Scf"</formula1>
    </dataValidation>
    <dataValidation type="list" allowBlank="1" showInputMessage="1" showErrorMessage="1" sqref="F91:F92 F94:F95" xr:uid="{49FD5F6B-C034-4C11-BDF9-18680C0BE353}">
      <formula1>Project_phases_list</formula1>
    </dataValidation>
    <dataValidation allowBlank="1" showInputMessage="1" showErrorMessage="1" promptTitle="Identification" prompt="Please input identification number for the reporting government entity, if applicable." sqref="D15:D17" xr:uid="{8310B678-8255-46C8-AF1B-93E3C1B16E87}"/>
    <dataValidation type="list" allowBlank="1" showInputMessage="1" showErrorMessage="1" promptTitle="Government agency type" prompt="Choose type of government agency from the drop-down list._x000a_Please refrain from using custom types if possible." sqref="C15:C17"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6" xr:uid="{125DD936-3706-43C4-A261-DA623EB281A6}"/>
    <dataValidation type="textLength" allowBlank="1" showInputMessage="1" showErrorMessage="1" sqref="A1:K13 A18:L20 F14:K17 E21:K22 A22:D22 A21 B73:K74 H132 A14:E14 B137:J141 B145:J145 B75:G75 H37:H49 K91:K92 K94:K95 K124:K125 H93:K93 H86 B23 C23:C72 D23:F23 G23:G72 I23:K72 H23:H27 H31 H61:H66 H56 H70:H72 H58:H59 H33:H35 I75:K90 H75:H77 H80 H83 I96:K123 H96:H101 H104:H107 H118:H121 I126:K135 H130 K136:K145 A23:A145"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17" xr:uid="{E7078589-660C-4DA2-9592-E8A92A55EA9A}">
      <formula1>999999</formula1>
      <formula2>9999999</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91:G92 G94:G95 G124:G125"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91:I92 I94:I95 I124:I125 I136" xr:uid="{83119F12-BEE5-4AB0-AD82-3D216DB6144F}">
      <formula1>0</formula1>
      <formula2>1000000000000000</formula2>
    </dataValidation>
    <dataValidation type="textLength" allowBlank="1" showInputMessage="1" showErrorMessage="1" errorTitle="Do not edit these cells" error="Please do not edit these cells" sqref="B142:J144" xr:uid="{BAF144F0-3731-4BBB-961A-1F8765C0F270}">
      <formula1>9999999</formula1>
      <formula2>99999999</formula2>
    </dataValidation>
    <dataValidation type="list" allowBlank="1" showInputMessage="1" showErrorMessage="1" promptTitle="Receiving government agency" prompt="Input the name of the government recipient here._x000a__x000a_Please refrain from using acronyms, and input complete name" sqref="B17" xr:uid="{ACF13A64-A2E1-4032-9A6F-2A61677B66BA}">
      <formula1>Government_entities_list</formula1>
    </dataValidation>
  </dataValidations>
  <hyperlinks>
    <hyperlink ref="B8" r:id="rId1" xr:uid="{DD07F9BC-AC8A-4A9E-9450-3D0391EB0CA7}"/>
    <hyperlink ref="B140:F140" r:id="rId2" display="Give us your feedback or report a conflict in the data! Write to us at  data@eiti.org" xr:uid="{7DD6EEF9-F2B1-490B-AA9F-CD09A5BE123B}"/>
    <hyperlink ref="B139:F139"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J91:J92 J94:J95 J124:J125 J136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T101"/>
  <sheetViews>
    <sheetView showGridLines="0" topLeftCell="A31" zoomScale="90" zoomScaleNormal="90" workbookViewId="0">
      <selection activeCell="A49" sqref="A49"/>
    </sheetView>
  </sheetViews>
  <sheetFormatPr defaultColWidth="8.77734375" defaultRowHeight="15" x14ac:dyDescent="0.35"/>
  <cols>
    <col min="1" max="1" width="2.77734375" style="26" customWidth="1"/>
    <col min="2" max="5" width="0" style="26" hidden="1" customWidth="1"/>
    <col min="6" max="6" width="50.44140625" style="26" customWidth="1"/>
    <col min="7" max="7" width="16.77734375" style="26" customWidth="1"/>
    <col min="8" max="8" width="47.44140625" style="26" customWidth="1"/>
    <col min="9" max="9" width="47.5546875" style="26" customWidth="1"/>
    <col min="10" max="10" width="52.77734375" style="26" customWidth="1"/>
    <col min="11" max="11" width="15.44140625" style="26" bestFit="1" customWidth="1"/>
    <col min="12" max="12" width="2.77734375" style="26" customWidth="1"/>
    <col min="13" max="13" width="19.44140625" style="26" bestFit="1" customWidth="1"/>
    <col min="14" max="14" width="73.44140625" style="26" bestFit="1" customWidth="1"/>
    <col min="15" max="15" width="4" style="26" customWidth="1"/>
    <col min="16" max="17" width="8.77734375" style="26"/>
    <col min="18" max="18" width="21.21875" style="26" bestFit="1" customWidth="1"/>
    <col min="19" max="19" width="8.77734375" style="26"/>
    <col min="20" max="20" width="21.21875" style="26" bestFit="1" customWidth="1"/>
    <col min="21" max="16384" width="8.77734375" style="26"/>
  </cols>
  <sheetData>
    <row r="1" spans="6:14" s="9" customFormat="1" ht="15.75" hidden="1" customHeight="1" x14ac:dyDescent="0.3">
      <c r="F1" s="101"/>
      <c r="G1" s="101"/>
      <c r="H1" s="101"/>
      <c r="I1" s="101"/>
      <c r="J1" s="101"/>
      <c r="K1" s="101"/>
      <c r="L1" s="101"/>
      <c r="M1" s="101"/>
      <c r="N1" s="101"/>
    </row>
    <row r="2" spans="6:14" s="9" customFormat="1" hidden="1" x14ac:dyDescent="0.3">
      <c r="F2" s="101"/>
      <c r="G2" s="101"/>
      <c r="H2" s="101"/>
      <c r="I2" s="101"/>
      <c r="J2" s="101"/>
      <c r="K2" s="101"/>
      <c r="L2" s="101"/>
      <c r="M2" s="101"/>
      <c r="N2" s="101"/>
    </row>
    <row r="3" spans="6:14" s="9" customFormat="1" hidden="1" x14ac:dyDescent="0.3">
      <c r="F3" s="101"/>
      <c r="G3" s="101"/>
      <c r="H3" s="101"/>
      <c r="I3" s="101"/>
      <c r="J3" s="101"/>
      <c r="K3" s="101"/>
      <c r="L3" s="101"/>
      <c r="M3" s="101"/>
      <c r="N3" s="257" t="s">
        <v>455</v>
      </c>
    </row>
    <row r="4" spans="6:14" s="9" customFormat="1" hidden="1" x14ac:dyDescent="0.3">
      <c r="F4" s="101"/>
      <c r="G4" s="101"/>
      <c r="H4" s="101"/>
      <c r="I4" s="101"/>
      <c r="J4" s="101"/>
      <c r="K4" s="101"/>
      <c r="L4" s="101"/>
      <c r="M4" s="101"/>
      <c r="N4" s="257" t="str">
        <f>Introduction!G4</f>
        <v>YYYY-MM-DD</v>
      </c>
    </row>
    <row r="5" spans="6:14" s="9" customFormat="1" hidden="1" x14ac:dyDescent="0.3">
      <c r="F5" s="101"/>
      <c r="G5" s="101"/>
      <c r="H5" s="101"/>
      <c r="I5" s="101"/>
      <c r="J5" s="101"/>
      <c r="K5" s="101"/>
      <c r="L5" s="101"/>
      <c r="M5" s="101"/>
      <c r="N5" s="101"/>
    </row>
    <row r="6" spans="6:14" s="9" customFormat="1" hidden="1" x14ac:dyDescent="0.3">
      <c r="F6" s="101"/>
      <c r="G6" s="101"/>
      <c r="H6" s="101"/>
      <c r="I6" s="101"/>
      <c r="J6" s="101"/>
      <c r="K6" s="101"/>
      <c r="L6" s="101"/>
      <c r="M6" s="101"/>
      <c r="N6" s="101"/>
    </row>
    <row r="7" spans="6:14" s="9" customFormat="1" x14ac:dyDescent="0.3">
      <c r="F7" s="101"/>
      <c r="G7" s="101"/>
      <c r="H7" s="101"/>
      <c r="I7" s="101"/>
      <c r="J7" s="101"/>
      <c r="K7" s="101"/>
      <c r="L7" s="101"/>
      <c r="M7" s="101"/>
      <c r="N7" s="101"/>
    </row>
    <row r="8" spans="6:14" s="9" customFormat="1" x14ac:dyDescent="0.3">
      <c r="F8" s="312" t="s">
        <v>456</v>
      </c>
      <c r="G8" s="312"/>
      <c r="H8" s="312"/>
      <c r="I8" s="312"/>
      <c r="J8" s="312"/>
      <c r="K8" s="312"/>
      <c r="L8" s="312"/>
      <c r="M8" s="312"/>
      <c r="N8" s="312"/>
    </row>
    <row r="9" spans="6:14" s="9" customFormat="1" ht="24" x14ac:dyDescent="0.3">
      <c r="F9" s="318" t="s">
        <v>40</v>
      </c>
      <c r="G9" s="318"/>
      <c r="H9" s="318"/>
      <c r="I9" s="318"/>
      <c r="J9" s="318"/>
      <c r="K9" s="318"/>
      <c r="L9" s="318"/>
      <c r="M9" s="318"/>
      <c r="N9" s="318"/>
    </row>
    <row r="10" spans="6:14" s="9" customFormat="1" x14ac:dyDescent="0.3">
      <c r="F10" s="320" t="s">
        <v>457</v>
      </c>
      <c r="G10" s="320"/>
      <c r="H10" s="320"/>
      <c r="I10" s="320"/>
      <c r="J10" s="320"/>
      <c r="K10" s="320"/>
      <c r="L10" s="320"/>
      <c r="M10" s="320"/>
      <c r="N10" s="320"/>
    </row>
    <row r="11" spans="6:14" s="9" customFormat="1" x14ac:dyDescent="0.3">
      <c r="F11" s="321" t="s">
        <v>458</v>
      </c>
      <c r="G11" s="321"/>
      <c r="H11" s="321"/>
      <c r="I11" s="321"/>
      <c r="J11" s="321"/>
      <c r="K11" s="321"/>
      <c r="L11" s="321"/>
      <c r="M11" s="321"/>
      <c r="N11" s="321"/>
    </row>
    <row r="12" spans="6:14" s="9" customFormat="1" x14ac:dyDescent="0.3">
      <c r="F12" s="321" t="s">
        <v>459</v>
      </c>
      <c r="G12" s="321"/>
      <c r="H12" s="321"/>
      <c r="I12" s="321"/>
      <c r="J12" s="321"/>
      <c r="K12" s="321"/>
      <c r="L12" s="321"/>
      <c r="M12" s="321"/>
      <c r="N12" s="321"/>
    </row>
    <row r="13" spans="6:14" s="9" customFormat="1" x14ac:dyDescent="0.3">
      <c r="F13" s="322" t="s">
        <v>460</v>
      </c>
      <c r="G13" s="322"/>
      <c r="H13" s="322"/>
      <c r="I13" s="322"/>
      <c r="J13" s="322"/>
      <c r="K13" s="322"/>
      <c r="L13" s="322"/>
      <c r="M13" s="322"/>
      <c r="N13" s="322"/>
    </row>
    <row r="14" spans="6:14" s="9" customFormat="1" x14ac:dyDescent="0.3">
      <c r="F14" s="323" t="s">
        <v>461</v>
      </c>
      <c r="G14" s="323"/>
      <c r="H14" s="323"/>
      <c r="I14" s="323"/>
      <c r="J14" s="323"/>
      <c r="K14" s="323"/>
      <c r="L14" s="323"/>
      <c r="M14" s="323"/>
      <c r="N14" s="323"/>
    </row>
    <row r="15" spans="6:14" s="9" customFormat="1" x14ac:dyDescent="0.3">
      <c r="F15" s="324" t="s">
        <v>462</v>
      </c>
      <c r="G15" s="324"/>
      <c r="H15" s="324"/>
      <c r="I15" s="324"/>
      <c r="J15" s="324"/>
      <c r="K15" s="324"/>
      <c r="L15" s="324"/>
      <c r="M15" s="324"/>
      <c r="N15" s="324"/>
    </row>
    <row r="16" spans="6:14" s="9" customFormat="1" x14ac:dyDescent="0.35">
      <c r="F16" s="296" t="s">
        <v>314</v>
      </c>
      <c r="G16" s="296"/>
      <c r="H16" s="296"/>
      <c r="I16" s="296"/>
      <c r="J16" s="296"/>
      <c r="K16" s="296"/>
      <c r="L16" s="296"/>
      <c r="M16" s="296"/>
      <c r="N16" s="296"/>
    </row>
    <row r="17" spans="2:14" s="9" customFormat="1" x14ac:dyDescent="0.3">
      <c r="B17" s="101"/>
      <c r="C17" s="101"/>
      <c r="D17" s="101"/>
      <c r="E17" s="101"/>
      <c r="F17" s="101"/>
      <c r="G17" s="101"/>
      <c r="H17" s="101"/>
      <c r="I17" s="101"/>
      <c r="J17" s="101"/>
      <c r="K17" s="101"/>
      <c r="L17" s="101"/>
      <c r="M17" s="101"/>
      <c r="N17" s="101"/>
    </row>
    <row r="18" spans="2:14" s="9" customFormat="1" ht="24" x14ac:dyDescent="0.3">
      <c r="B18" s="101"/>
      <c r="C18" s="101"/>
      <c r="D18" s="101"/>
      <c r="E18" s="101"/>
      <c r="F18" s="304" t="s">
        <v>463</v>
      </c>
      <c r="G18" s="304"/>
      <c r="H18" s="304"/>
      <c r="I18" s="304"/>
      <c r="J18" s="304"/>
      <c r="K18" s="304"/>
      <c r="L18" s="101"/>
      <c r="M18" s="325" t="s">
        <v>464</v>
      </c>
      <c r="N18" s="325"/>
    </row>
    <row r="19" spans="2:14" s="9" customFormat="1" ht="15.6" customHeight="1" x14ac:dyDescent="0.3">
      <c r="B19" s="101"/>
      <c r="C19" s="101"/>
      <c r="D19" s="101"/>
      <c r="E19" s="101"/>
      <c r="F19" s="101"/>
      <c r="G19" s="101"/>
      <c r="H19" s="101"/>
      <c r="I19" s="101"/>
      <c r="J19" s="101"/>
      <c r="K19" s="101"/>
      <c r="L19" s="101"/>
      <c r="M19" s="317" t="s">
        <v>465</v>
      </c>
      <c r="N19" s="317"/>
    </row>
    <row r="20" spans="2:14" x14ac:dyDescent="0.35">
      <c r="B20" s="111"/>
      <c r="C20" s="111"/>
      <c r="D20" s="111"/>
      <c r="E20" s="111"/>
      <c r="F20" s="315" t="s">
        <v>466</v>
      </c>
      <c r="G20" s="315"/>
      <c r="H20" s="315"/>
      <c r="I20" s="315"/>
      <c r="J20" s="315"/>
      <c r="K20" s="316"/>
      <c r="L20" s="111"/>
      <c r="M20" s="101"/>
      <c r="N20" s="101"/>
    </row>
    <row r="21" spans="2:14" ht="24" x14ac:dyDescent="0.35">
      <c r="B21" s="81" t="s">
        <v>467</v>
      </c>
      <c r="C21" s="81" t="s">
        <v>468</v>
      </c>
      <c r="D21" s="81" t="s">
        <v>469</v>
      </c>
      <c r="E21" s="81" t="s">
        <v>470</v>
      </c>
      <c r="F21" s="111" t="s">
        <v>471</v>
      </c>
      <c r="G21" s="111" t="s">
        <v>333</v>
      </c>
      <c r="H21" s="111" t="s">
        <v>472</v>
      </c>
      <c r="I21" s="111" t="s">
        <v>473</v>
      </c>
      <c r="J21" s="111" t="s">
        <v>474</v>
      </c>
      <c r="K21" s="101" t="s">
        <v>451</v>
      </c>
      <c r="L21" s="111"/>
      <c r="M21" s="318" t="s">
        <v>475</v>
      </c>
      <c r="N21" s="318"/>
    </row>
    <row r="22" spans="2:14" ht="15.75" customHeight="1" x14ac:dyDescent="0.35">
      <c r="B22" s="81" t="str">
        <f>IFERROR(VLOOKUP(Government_revenues_table[[#This Row],[GFS Classification]],Table6_GFS_codes_classification[],COLUMNS($F:F)+3,FALSE),"Do not enter data")</f>
        <v>Taxes (11E)</v>
      </c>
      <c r="C22" s="81" t="str">
        <f>IFERROR(VLOOKUP(Government_revenues_table[[#This Row],[GFS Classification]],Table6_GFS_codes_classification[],COLUMNS($F:G)+3,FALSE),"Do not enter data")</f>
        <v>Other taxes payable by natural resource companies (116E)</v>
      </c>
      <c r="D22" s="81" t="str">
        <f>IFERROR(VLOOKUP(Government_revenues_table[[#This Row],[GFS Classification]],Table6_GFS_codes_classification[],COLUMNS($F:H)+3,FALSE),"Do not enter data")</f>
        <v>Other taxes payable by natural resource companies (116E)</v>
      </c>
      <c r="E22" s="81" t="str">
        <f>IFERROR(VLOOKUP(Government_revenues_table[[#This Row],[GFS Classification]],Table6_GFS_codes_classification[],COLUMNS($F:I)+3,FALSE),"Do not enter data")</f>
        <v>Other taxes payable by natural resource companies (116E)</v>
      </c>
      <c r="F22" s="111" t="s">
        <v>476</v>
      </c>
      <c r="G22" s="101" t="s">
        <v>340</v>
      </c>
      <c r="H22" s="111" t="s">
        <v>477</v>
      </c>
      <c r="I22" s="111" t="s">
        <v>324</v>
      </c>
      <c r="J22" s="263">
        <f>22060377/[1]Sheet1!$T$370</f>
        <v>3267566.88301636</v>
      </c>
      <c r="K22" s="111" t="s">
        <v>185</v>
      </c>
      <c r="L22" s="111"/>
      <c r="M22" s="319" t="s">
        <v>478</v>
      </c>
      <c r="N22" s="319"/>
    </row>
    <row r="23" spans="2:14" ht="15.75" customHeight="1" x14ac:dyDescent="0.35">
      <c r="B23" s="81" t="str">
        <f>IFERROR(VLOOKUP(Government_revenues_table[[#This Row],[GFS Classification]],Table6_GFS_codes_classification[],COLUMNS($F:F)+3,FALSE),"Do not enter data")</f>
        <v>Other revenue (14E)</v>
      </c>
      <c r="C23" s="81" t="str">
        <f>IFERROR(VLOOKUP(Government_revenues_table[[#This Row],[GFS Classification]],Table6_GFS_codes_classification[],COLUMNS($F:G)+3,FALSE),"Do not enter data")</f>
        <v>Sales of goods and services (142E)</v>
      </c>
      <c r="D23" s="81" t="str">
        <f>IFERROR(VLOOKUP(Government_revenues_table[[#This Row],[GFS Classification]],Table6_GFS_codes_classification[],COLUMNS($F:H)+3,FALSE),"Do not enter data")</f>
        <v>Administrative fees for government services (1422E)</v>
      </c>
      <c r="E23" s="81" t="str">
        <f>IFERROR(VLOOKUP(Government_revenues_table[[#This Row],[GFS Classification]],Table6_GFS_codes_classification[],COLUMNS($F:I)+3,FALSE),"Do not enter data")</f>
        <v>Administrative fees for government services (1422E)</v>
      </c>
      <c r="F23" s="111" t="s">
        <v>479</v>
      </c>
      <c r="G23" s="101" t="s">
        <v>340</v>
      </c>
      <c r="H23" s="273" t="s">
        <v>480</v>
      </c>
      <c r="I23" s="111" t="s">
        <v>324</v>
      </c>
      <c r="J23" s="263">
        <f>(57415545+2673644.36)/[1]Sheet1!$T$370</f>
        <v>8900366.7154026888</v>
      </c>
      <c r="K23" s="111" t="s">
        <v>185</v>
      </c>
      <c r="L23" s="111"/>
      <c r="M23" s="319"/>
      <c r="N23" s="319"/>
    </row>
    <row r="24" spans="2:14" ht="15.75" customHeight="1" x14ac:dyDescent="0.35">
      <c r="B24" s="81" t="str">
        <f>IFERROR(VLOOKUP(Government_revenues_table[[#This Row],[GFS Classification]],Table6_GFS_codes_classification[],COLUMNS($F:F)+3,FALSE),"Do not enter data")</f>
        <v>Other revenue (14E)</v>
      </c>
      <c r="C24" s="81" t="str">
        <f>IFERROR(VLOOKUP(Government_revenues_table[[#This Row],[GFS Classification]],Table6_GFS_codes_classification[],COLUMNS($F:G)+3,FALSE),"Do not enter data")</f>
        <v>Property income (141E)</v>
      </c>
      <c r="D24" s="81" t="str">
        <f>IFERROR(VLOOKUP(Government_revenues_table[[#This Row],[GFS Classification]],Table6_GFS_codes_classification[],COLUMNS($F:H)+3,FALSE),"Do not enter data")</f>
        <v>Rent (1415E)</v>
      </c>
      <c r="E24" s="81" t="str">
        <f>IFERROR(VLOOKUP(Government_revenues_table[[#This Row],[GFS Classification]],Table6_GFS_codes_classification[],COLUMNS($F:I)+3,FALSE),"Do not enter data")</f>
        <v>Other rent payments (1415E5)</v>
      </c>
      <c r="F24" s="111" t="s">
        <v>481</v>
      </c>
      <c r="G24" s="101" t="s">
        <v>340</v>
      </c>
      <c r="H24" s="111" t="s">
        <v>482</v>
      </c>
      <c r="I24" s="111" t="s">
        <v>324</v>
      </c>
      <c r="J24" s="263">
        <f>77141288/[1]Sheet1!$T$370</f>
        <v>11426111.076072151</v>
      </c>
      <c r="K24" s="111" t="s">
        <v>185</v>
      </c>
      <c r="L24" s="111"/>
      <c r="M24" s="319"/>
      <c r="N24" s="319"/>
    </row>
    <row r="25" spans="2:14" ht="15.75" customHeight="1" x14ac:dyDescent="0.35">
      <c r="B25" s="81" t="str">
        <f>IFERROR(VLOOKUP(Government_revenues_table[[#This Row],[GFS Classification]],Table6_GFS_codes_classification[],COLUMNS($F:F)+3,FALSE),"Do not enter data")</f>
        <v>Taxes (11E)</v>
      </c>
      <c r="C25" s="81" t="str">
        <f>IFERROR(VLOOKUP(Government_revenues_table[[#This Row],[GFS Classification]],Table6_GFS_codes_classification[],COLUMNS($F:G)+3,FALSE),"Do not enter data")</f>
        <v>Taxes on income, profits and capital gains (111E)</v>
      </c>
      <c r="D25" s="81" t="str">
        <f>IFERROR(VLOOKUP(Government_revenues_table[[#This Row],[GFS Classification]],Table6_GFS_codes_classification[],COLUMNS($F:H)+3,FALSE),"Do not enter data")</f>
        <v>Ordinary taxes on income, profits and capital gains (1112E1)</v>
      </c>
      <c r="E25" s="81" t="str">
        <f>IFERROR(VLOOKUP(Government_revenues_table[[#This Row],[GFS Classification]],Table6_GFS_codes_classification[],COLUMNS($F:I)+3,FALSE),"Do not enter data")</f>
        <v>Ordinary taxes on income, profits and capital gains (1112E1)</v>
      </c>
      <c r="F25" s="111" t="s">
        <v>483</v>
      </c>
      <c r="G25" s="101" t="s">
        <v>340</v>
      </c>
      <c r="H25" s="111" t="s">
        <v>484</v>
      </c>
      <c r="I25" s="111" t="s">
        <v>322</v>
      </c>
      <c r="J25" s="263">
        <f>38912911.7/[1]Sheet1!$T$370</f>
        <v>5763751.97906454</v>
      </c>
      <c r="K25" s="111" t="s">
        <v>185</v>
      </c>
      <c r="L25" s="111"/>
      <c r="M25" s="319"/>
      <c r="N25" s="319"/>
    </row>
    <row r="26" spans="2:14" ht="15.75" customHeight="1" x14ac:dyDescent="0.35">
      <c r="B26" s="81"/>
      <c r="C26" s="81"/>
      <c r="D26" s="81"/>
      <c r="E26" s="81"/>
      <c r="F26" s="111" t="s">
        <v>483</v>
      </c>
      <c r="G26" s="111" t="s">
        <v>435</v>
      </c>
      <c r="H26" s="111" t="s">
        <v>484</v>
      </c>
      <c r="I26" s="111" t="s">
        <v>322</v>
      </c>
      <c r="J26" s="117">
        <f>617675.68/[1]Sheet1!$T$370</f>
        <v>91489.669302234077</v>
      </c>
      <c r="K26" s="111" t="s">
        <v>185</v>
      </c>
      <c r="L26" s="111"/>
      <c r="M26" s="319"/>
      <c r="N26" s="319"/>
    </row>
    <row r="27" spans="2:14" ht="15.75" customHeight="1" x14ac:dyDescent="0.35">
      <c r="B27" s="81" t="str">
        <f>IFERROR(VLOOKUP(Government_revenues_table[[#This Row],[GFS Classification]],Table6_GFS_codes_classification[],COLUMNS($F:F)+3,FALSE),"Do not enter data")</f>
        <v>Taxes (11E)</v>
      </c>
      <c r="C27" s="81" t="str">
        <f>IFERROR(VLOOKUP(Government_revenues_table[[#This Row],[GFS Classification]],Table6_GFS_codes_classification[],COLUMNS($F:G)+3,FALSE),"Do not enter data")</f>
        <v>Taxes on income, profits and capital gains (111E)</v>
      </c>
      <c r="D27" s="81" t="str">
        <f>IFERROR(VLOOKUP(Government_revenues_table[[#This Row],[GFS Classification]],Table6_GFS_codes_classification[],COLUMNS($F:H)+3,FALSE),"Do not enter data")</f>
        <v>Ordinary taxes on income, profits and capital gains (1112E1)</v>
      </c>
      <c r="E27" s="81" t="str">
        <f>IFERROR(VLOOKUP(Government_revenues_table[[#This Row],[GFS Classification]],Table6_GFS_codes_classification[],COLUMNS($F:I)+3,FALSE),"Do not enter data")</f>
        <v>Ordinary taxes on income, profits and capital gains (1112E1)</v>
      </c>
      <c r="F27" s="111" t="s">
        <v>483</v>
      </c>
      <c r="G27" s="101" t="s">
        <v>340</v>
      </c>
      <c r="H27" s="111" t="s">
        <v>485</v>
      </c>
      <c r="I27" s="111" t="s">
        <v>322</v>
      </c>
      <c r="J27" s="263">
        <f>231573289.9/[1]Sheet1!$T$370</f>
        <v>34300466.083076775</v>
      </c>
      <c r="K27" s="111" t="s">
        <v>185</v>
      </c>
      <c r="L27" s="111"/>
      <c r="M27" s="319"/>
      <c r="N27" s="319"/>
    </row>
    <row r="28" spans="2:14" ht="15.75" customHeight="1" x14ac:dyDescent="0.35">
      <c r="B28" s="81" t="str">
        <f>IFERROR(VLOOKUP(Government_revenues_table[[#This Row],[GFS Classification]],Table6_GFS_codes_classification[],COLUMNS($F:F)+3,FALSE),"Do not enter data")</f>
        <v>Other revenue (14E)</v>
      </c>
      <c r="C28" s="81" t="str">
        <f>IFERROR(VLOOKUP(Government_revenues_table[[#This Row],[GFS Classification]],Table6_GFS_codes_classification[],COLUMNS($F:G)+3,FALSE),"Do not enter data")</f>
        <v>Property income (141E)</v>
      </c>
      <c r="D28" s="81" t="str">
        <f>IFERROR(VLOOKUP(Government_revenues_table[[#This Row],[GFS Classification]],Table6_GFS_codes_classification[],COLUMNS($F:H)+3,FALSE),"Do not enter data")</f>
        <v>Dividends (1412E)</v>
      </c>
      <c r="E28" s="81" t="str">
        <f>IFERROR(VLOOKUP(Government_revenues_table[[#This Row],[GFS Classification]],Table6_GFS_codes_classification[],COLUMNS($F:I)+3,FALSE),"Do not enter data")</f>
        <v>From government participation (equity) (1412E2)</v>
      </c>
      <c r="F28" s="111" t="s">
        <v>486</v>
      </c>
      <c r="G28" s="101" t="s">
        <v>340</v>
      </c>
      <c r="H28" s="111" t="s">
        <v>487</v>
      </c>
      <c r="I28" s="111" t="s">
        <v>325</v>
      </c>
      <c r="J28" s="263">
        <f>109930015/[1]Sheet1!$T$370</f>
        <v>16282753.303059675</v>
      </c>
      <c r="K28" s="111" t="s">
        <v>185</v>
      </c>
      <c r="L28" s="111"/>
      <c r="M28" s="319"/>
      <c r="N28" s="319"/>
    </row>
    <row r="29" spans="2:14" ht="15.75" customHeight="1" x14ac:dyDescent="0.35">
      <c r="B29" s="81" t="str">
        <f>IFERROR(VLOOKUP(Government_revenues_table[[#This Row],[GFS Classification]],Table6_GFS_codes_classification[],COLUMNS($F:F)+3,FALSE),"Do not enter data")</f>
        <v>Taxes (11E)</v>
      </c>
      <c r="C29" s="81" t="str">
        <f>IFERROR(VLOOKUP(Government_revenues_table[[#This Row],[GFS Classification]],Table6_GFS_codes_classification[],COLUMNS($F:G)+3,FALSE),"Do not enter data")</f>
        <v>Taxes on income, profits and capital gains (111E)</v>
      </c>
      <c r="D29" s="81" t="str">
        <f>IFERROR(VLOOKUP(Government_revenues_table[[#This Row],[GFS Classification]],Table6_GFS_codes_classification[],COLUMNS($F:H)+3,FALSE),"Do not enter data")</f>
        <v>Ordinary taxes on income, profits and capital gains (1112E1)</v>
      </c>
      <c r="E29" s="81" t="str">
        <f>IFERROR(VLOOKUP(Government_revenues_table[[#This Row],[GFS Classification]],Table6_GFS_codes_classification[],COLUMNS($F:I)+3,FALSE),"Do not enter data")</f>
        <v>Ordinary taxes on income, profits and capital gains (1112E1)</v>
      </c>
      <c r="F29" s="111" t="s">
        <v>483</v>
      </c>
      <c r="G29" s="101" t="s">
        <v>340</v>
      </c>
      <c r="H29" s="111" t="s">
        <v>488</v>
      </c>
      <c r="I29" s="111" t="s">
        <v>325</v>
      </c>
      <c r="J29" s="263">
        <f>88831920.16/[1]Sheet1!$T$370</f>
        <v>13157718.948754562</v>
      </c>
      <c r="K29" s="111" t="s">
        <v>185</v>
      </c>
      <c r="L29" s="111"/>
      <c r="M29" s="319"/>
      <c r="N29" s="319"/>
    </row>
    <row r="30" spans="2:14" ht="15.75" customHeight="1" x14ac:dyDescent="0.35">
      <c r="B30" s="81"/>
      <c r="C30" s="81"/>
      <c r="D30" s="81"/>
      <c r="E30" s="81"/>
      <c r="F30" s="111" t="s">
        <v>483</v>
      </c>
      <c r="G30" s="111" t="s">
        <v>435</v>
      </c>
      <c r="H30" s="111" t="s">
        <v>488</v>
      </c>
      <c r="I30" s="111" t="s">
        <v>322</v>
      </c>
      <c r="J30" s="117">
        <f>363617.95/[1]Sheet1!$T$370</f>
        <v>53858.824420375895</v>
      </c>
      <c r="K30" s="111" t="s">
        <v>185</v>
      </c>
      <c r="L30" s="111"/>
      <c r="M30" s="319"/>
      <c r="N30" s="319"/>
    </row>
    <row r="31" spans="2:14" ht="15.75" customHeight="1" x14ac:dyDescent="0.35">
      <c r="B31" s="81" t="str">
        <f>IFERROR(VLOOKUP(Government_revenues_table[[#This Row],[GFS Classification]],Table6_GFS_codes_classification[],COLUMNS($F:F)+3,FALSE),"Do not enter data")</f>
        <v>Taxes (11E)</v>
      </c>
      <c r="C31" s="81" t="str">
        <f>IFERROR(VLOOKUP(Government_revenues_table[[#This Row],[GFS Classification]],Table6_GFS_codes_classification[],COLUMNS($F:G)+3,FALSE),"Do not enter data")</f>
        <v>Taxes on goods and services (114E)</v>
      </c>
      <c r="D31" s="81" t="str">
        <f>IFERROR(VLOOKUP(Government_revenues_table[[#This Row],[GFS Classification]],Table6_GFS_codes_classification[],COLUMNS($F:H)+3,FALSE),"Do not enter data")</f>
        <v>General taxes on goods and services (VAT, sales tax, turnover tax) (1141E)</v>
      </c>
      <c r="E31" s="81" t="str">
        <f>IFERROR(VLOOKUP(Government_revenues_table[[#This Row],[GFS Classification]],Table6_GFS_codes_classification[],COLUMNS($F:I)+3,FALSE),"Do not enter data")</f>
        <v>General taxes on goods and services (VAT, sales tax, turnover tax) (1141E)</v>
      </c>
      <c r="F31" s="111" t="s">
        <v>489</v>
      </c>
      <c r="G31" s="101" t="s">
        <v>340</v>
      </c>
      <c r="H31" s="111" t="s">
        <v>490</v>
      </c>
      <c r="I31" s="111" t="s">
        <v>322</v>
      </c>
      <c r="J31" s="263">
        <f>1053553.63/[1]Sheet1!$T$370</f>
        <v>156051.59199544374</v>
      </c>
      <c r="K31" s="111" t="s">
        <v>185</v>
      </c>
      <c r="L31" s="111"/>
      <c r="M31" s="319"/>
      <c r="N31" s="319"/>
    </row>
    <row r="32" spans="2:14" ht="15.75" customHeight="1" x14ac:dyDescent="0.35">
      <c r="B32" s="81" t="str">
        <f>IFERROR(VLOOKUP(Government_revenues_table[[#This Row],[GFS Classification]],Table6_GFS_codes_classification[],COLUMNS($F:F)+3,FALSE),"Do not enter data")</f>
        <v>Other revenue (14E)</v>
      </c>
      <c r="C32" s="81" t="str">
        <f>IFERROR(VLOOKUP(Government_revenues_table[[#This Row],[GFS Classification]],Table6_GFS_codes_classification[],COLUMNS($F:G)+3,FALSE),"Do not enter data")</f>
        <v>Fines, penalties, and forfeits (143E)</v>
      </c>
      <c r="D32" s="81" t="str">
        <f>IFERROR(VLOOKUP(Government_revenues_table[[#This Row],[GFS Classification]],Table6_GFS_codes_classification[],COLUMNS($F:H)+3,FALSE),"Do not enter data")</f>
        <v>Fines, penalties, and forfeits (143E)</v>
      </c>
      <c r="E32" s="81" t="str">
        <f>IFERROR(VLOOKUP(Government_revenues_table[[#This Row],[GFS Classification]],Table6_GFS_codes_classification[],COLUMNS($F:I)+3,FALSE),"Do not enter data")</f>
        <v>Fines, penalties, and forfeits (143E)</v>
      </c>
      <c r="F32" s="111" t="s">
        <v>491</v>
      </c>
      <c r="G32" s="101" t="s">
        <v>340</v>
      </c>
      <c r="H32" s="111" t="s">
        <v>492</v>
      </c>
      <c r="I32" s="111" t="s">
        <v>322</v>
      </c>
      <c r="J32" s="263">
        <f>1929021.27/[1]Sheet1!$T$370</f>
        <v>285725.21759198222</v>
      </c>
      <c r="K32" s="111" t="s">
        <v>185</v>
      </c>
      <c r="L32" s="111"/>
      <c r="M32" s="319"/>
      <c r="N32" s="319"/>
    </row>
    <row r="33" spans="2:14" ht="15.75" customHeight="1" x14ac:dyDescent="0.35">
      <c r="B33" s="81" t="str">
        <f>IFERROR(VLOOKUP(Government_revenues_table[[#This Row],[GFS Classification]],Table6_GFS_codes_classification[],COLUMNS($F:F)+3,FALSE),"Do not enter data")</f>
        <v>Taxes (11E)</v>
      </c>
      <c r="C33" s="81" t="str">
        <f>IFERROR(VLOOKUP(Government_revenues_table[[#This Row],[GFS Classification]],Table6_GFS_codes_classification[],COLUMNS($F:G)+3,FALSE),"Do not enter data")</f>
        <v>Other taxes payable by natural resource companies (116E)</v>
      </c>
      <c r="D33" s="81" t="str">
        <f>IFERROR(VLOOKUP(Government_revenues_table[[#This Row],[GFS Classification]],Table6_GFS_codes_classification[],COLUMNS($F:H)+3,FALSE),"Do not enter data")</f>
        <v>Other taxes payable by natural resource companies (116E)</v>
      </c>
      <c r="E33" s="81" t="str">
        <f>IFERROR(VLOOKUP(Government_revenues_table[[#This Row],[GFS Classification]],Table6_GFS_codes_classification[],COLUMNS($F:I)+3,FALSE),"Do not enter data")</f>
        <v>Other taxes payable by natural resource companies (116E)</v>
      </c>
      <c r="F33" s="111" t="s">
        <v>476</v>
      </c>
      <c r="G33" s="101" t="s">
        <v>340</v>
      </c>
      <c r="H33" s="111" t="s">
        <v>493</v>
      </c>
      <c r="I33" s="111" t="s">
        <v>324</v>
      </c>
      <c r="J33" s="263">
        <f>27509719.04/[1]Sheet1!$T$370</f>
        <v>4074719.4345857557</v>
      </c>
      <c r="K33" s="111" t="s">
        <v>185</v>
      </c>
      <c r="L33" s="111"/>
      <c r="M33" s="319"/>
      <c r="N33" s="319"/>
    </row>
    <row r="34" spans="2:14" ht="15.75" customHeight="1" x14ac:dyDescent="0.35">
      <c r="B34" s="81" t="str">
        <f>IFERROR(VLOOKUP(Government_revenues_table[[#This Row],[GFS Classification]],Table6_GFS_codes_classification[],COLUMNS($F:F)+3,FALSE),"Do not enter data")</f>
        <v>Taxes (11E)</v>
      </c>
      <c r="C34" s="81" t="str">
        <f>IFERROR(VLOOKUP(Government_revenues_table[[#This Row],[GFS Classification]],Table6_GFS_codes_classification[],COLUMNS($F:G)+3,FALSE),"Do not enter data")</f>
        <v>Other taxes payable by natural resource companies (116E)</v>
      </c>
      <c r="D34" s="81" t="str">
        <f>IFERROR(VLOOKUP(Government_revenues_table[[#This Row],[GFS Classification]],Table6_GFS_codes_classification[],COLUMNS($F:H)+3,FALSE),"Do not enter data")</f>
        <v>Other taxes payable by natural resource companies (116E)</v>
      </c>
      <c r="E34" s="81" t="str">
        <f>IFERROR(VLOOKUP(Government_revenues_table[[#This Row],[GFS Classification]],Table6_GFS_codes_classification[],COLUMNS($F:I)+3,FALSE),"Do not enter data")</f>
        <v>Other taxes payable by natural resource companies (116E)</v>
      </c>
      <c r="F34" s="111" t="s">
        <v>476</v>
      </c>
      <c r="G34" s="101" t="s">
        <v>340</v>
      </c>
      <c r="H34" s="111" t="s">
        <v>494</v>
      </c>
      <c r="I34" s="111" t="s">
        <v>324</v>
      </c>
      <c r="J34" s="263">
        <f>111178535.5/[1]Sheet1!$T$370</f>
        <v>16467683.245035147</v>
      </c>
      <c r="K34" s="111" t="s">
        <v>185</v>
      </c>
      <c r="L34" s="111"/>
      <c r="M34" s="319"/>
      <c r="N34" s="319"/>
    </row>
    <row r="35" spans="2:14" ht="15.75" customHeight="1" x14ac:dyDescent="0.35">
      <c r="B35" s="81" t="str">
        <f>IFERROR(VLOOKUP(Government_revenues_table[[#This Row],[GFS Classification]],Table6_GFS_codes_classification[],COLUMNS($F:F)+3,FALSE),"Do not enter data")</f>
        <v>Other revenue (14E)</v>
      </c>
      <c r="C35" s="81" t="str">
        <f>IFERROR(VLOOKUP(Government_revenues_table[[#This Row],[GFS Classification]],Table6_GFS_codes_classification[],COLUMNS($F:G)+3,FALSE),"Do not enter data")</f>
        <v>Fines, penalties, and forfeits (143E)</v>
      </c>
      <c r="D35" s="81" t="str">
        <f>IFERROR(VLOOKUP(Government_revenues_table[[#This Row],[GFS Classification]],Table6_GFS_codes_classification[],COLUMNS($F:H)+3,FALSE),"Do not enter data")</f>
        <v>Fines, penalties, and forfeits (143E)</v>
      </c>
      <c r="E35" s="81" t="str">
        <f>IFERROR(VLOOKUP(Government_revenues_table[[#This Row],[GFS Classification]],Table6_GFS_codes_classification[],COLUMNS($F:I)+3,FALSE),"Do not enter data")</f>
        <v>Fines, penalties, and forfeits (143E)</v>
      </c>
      <c r="F35" s="111" t="s">
        <v>491</v>
      </c>
      <c r="G35" s="101" t="s">
        <v>340</v>
      </c>
      <c r="H35" s="111" t="s">
        <v>495</v>
      </c>
      <c r="I35" s="111" t="s">
        <v>322</v>
      </c>
      <c r="J35" s="263">
        <f>119901.75/[1]Sheet1!$T$370</f>
        <v>17759.759387416943</v>
      </c>
      <c r="K35" s="111" t="s">
        <v>185</v>
      </c>
      <c r="L35" s="111"/>
      <c r="M35" s="319"/>
      <c r="N35" s="319"/>
    </row>
    <row r="36" spans="2:14" ht="15.75" customHeight="1" x14ac:dyDescent="0.35">
      <c r="B36" s="81" t="str">
        <f>IFERROR(VLOOKUP(Government_revenues_table[[#This Row],[GFS Classification]],Table6_GFS_codes_classification[],COLUMNS($F:F)+3,FALSE),"Do not enter data")</f>
        <v>Taxes (11E)</v>
      </c>
      <c r="C36" s="81" t="str">
        <f>IFERROR(VLOOKUP(Government_revenues_table[[#This Row],[GFS Classification]],Table6_GFS_codes_classification[],COLUMNS($F:G)+3,FALSE),"Do not enter data")</f>
        <v>Other taxes payable by natural resource companies (116E)</v>
      </c>
      <c r="D36" s="81" t="str">
        <f>IFERROR(VLOOKUP(Government_revenues_table[[#This Row],[GFS Classification]],Table6_GFS_codes_classification[],COLUMNS($F:H)+3,FALSE),"Do not enter data")</f>
        <v>Other taxes payable by natural resource companies (116E)</v>
      </c>
      <c r="E36" s="81" t="str">
        <f>IFERROR(VLOOKUP(Government_revenues_table[[#This Row],[GFS Classification]],Table6_GFS_codes_classification[],COLUMNS($F:I)+3,FALSE),"Do not enter data")</f>
        <v>Other taxes payable by natural resource companies (116E)</v>
      </c>
      <c r="F36" s="111" t="s">
        <v>476</v>
      </c>
      <c r="G36" s="101" t="s">
        <v>340</v>
      </c>
      <c r="H36" s="111" t="s">
        <v>496</v>
      </c>
      <c r="I36" s="111" t="s">
        <v>324</v>
      </c>
      <c r="J36" s="263">
        <f>59657957.33/[1]Sheet1!$T$370</f>
        <v>8836492.9429769535</v>
      </c>
      <c r="K36" s="111" t="s">
        <v>185</v>
      </c>
      <c r="L36" s="111"/>
      <c r="M36" s="319"/>
      <c r="N36" s="319"/>
    </row>
    <row r="37" spans="2:14" ht="15.75" customHeight="1" x14ac:dyDescent="0.35">
      <c r="B37" s="81" t="str">
        <f>IFERROR(VLOOKUP(Government_revenues_table[[#This Row],[GFS Classification]],Table6_GFS_codes_classification[],COLUMNS($F:F)+3,FALSE),"Do not enter data")</f>
        <v>Taxes (11E)</v>
      </c>
      <c r="C37" s="81" t="str">
        <f>IFERROR(VLOOKUP(Government_revenues_table[[#This Row],[GFS Classification]],Table6_GFS_codes_classification[],COLUMNS($F:G)+3,FALSE),"Do not enter data")</f>
        <v>Other taxes payable by natural resource companies (116E)</v>
      </c>
      <c r="D37" s="81" t="str">
        <f>IFERROR(VLOOKUP(Government_revenues_table[[#This Row],[GFS Classification]],Table6_GFS_codes_classification[],COLUMNS($F:H)+3,FALSE),"Do not enter data")</f>
        <v>Other taxes payable by natural resource companies (116E)</v>
      </c>
      <c r="E37" s="81" t="str">
        <f>IFERROR(VLOOKUP(Government_revenues_table[[#This Row],[GFS Classification]],Table6_GFS_codes_classification[],COLUMNS($F:I)+3,FALSE),"Do not enter data")</f>
        <v>Other taxes payable by natural resource companies (116E)</v>
      </c>
      <c r="F37" s="111" t="s">
        <v>476</v>
      </c>
      <c r="G37" s="101" t="s">
        <v>340</v>
      </c>
      <c r="H37" s="111" t="s">
        <v>497</v>
      </c>
      <c r="I37" s="111" t="s">
        <v>324</v>
      </c>
      <c r="J37" s="263">
        <f>(174462829+8895135.2)/[1]Sheet1!$T$370</f>
        <v>27158847.355927747</v>
      </c>
      <c r="K37" s="111" t="s">
        <v>185</v>
      </c>
      <c r="L37" s="111"/>
      <c r="M37" s="319"/>
      <c r="N37" s="319"/>
    </row>
    <row r="38" spans="2:14" ht="15.75" customHeight="1" x14ac:dyDescent="0.35">
      <c r="B38" s="81" t="str">
        <f>IFERROR(VLOOKUP(Government_revenues_table[[#This Row],[GFS Classification]],Table6_GFS_codes_classification[],COLUMNS($F:F)+3,FALSE),"Do not enter data")</f>
        <v>Taxes (11E)</v>
      </c>
      <c r="C38" s="81" t="str">
        <f>IFERROR(VLOOKUP(Government_revenues_table[[#This Row],[GFS Classification]],Table6_GFS_codes_classification[],COLUMNS($F:G)+3,FALSE),"Do not enter data")</f>
        <v>Other taxes payable by natural resource companies (116E)</v>
      </c>
      <c r="D38" s="81" t="str">
        <f>IFERROR(VLOOKUP(Government_revenues_table[[#This Row],[GFS Classification]],Table6_GFS_codes_classification[],COLUMNS($F:H)+3,FALSE),"Do not enter data")</f>
        <v>Other taxes payable by natural resource companies (116E)</v>
      </c>
      <c r="E38" s="81" t="str">
        <f>IFERROR(VLOOKUP(Government_revenues_table[[#This Row],[GFS Classification]],Table6_GFS_codes_classification[],COLUMNS($F:I)+3,FALSE),"Do not enter data")</f>
        <v>Other taxes payable by natural resource companies (116E)</v>
      </c>
      <c r="F38" s="111" t="s">
        <v>476</v>
      </c>
      <c r="G38" s="101" t="s">
        <v>340</v>
      </c>
      <c r="H38" s="111" t="s">
        <v>498</v>
      </c>
      <c r="I38" s="111" t="s">
        <v>322</v>
      </c>
      <c r="J38" s="263">
        <f>1171621397.8/[1]Sheet1!$T$370</f>
        <v>173539703.28270531</v>
      </c>
      <c r="K38" s="111" t="s">
        <v>185</v>
      </c>
      <c r="L38" s="111"/>
      <c r="M38" s="319"/>
      <c r="N38" s="319"/>
    </row>
    <row r="39" spans="2:14" ht="15.75" customHeight="1" x14ac:dyDescent="0.35">
      <c r="B39" s="81" t="str">
        <f>IFERROR(VLOOKUP(Government_revenues_table[[#This Row],[GFS Classification]],Table6_GFS_codes_classification[],COLUMNS($F:F)+3,FALSE),"Do not enter data")</f>
        <v>Taxes (11E)</v>
      </c>
      <c r="C39" s="81" t="str">
        <f>IFERROR(VLOOKUP(Government_revenues_table[[#This Row],[GFS Classification]],Table6_GFS_codes_classification[],COLUMNS($F:G)+3,FALSE),"Do not enter data")</f>
        <v>Other taxes payable by natural resource companies (116E)</v>
      </c>
      <c r="D39" s="81" t="str">
        <f>IFERROR(VLOOKUP(Government_revenues_table[[#This Row],[GFS Classification]],Table6_GFS_codes_classification[],COLUMNS($F:H)+3,FALSE),"Do not enter data")</f>
        <v>Other taxes payable by natural resource companies (116E)</v>
      </c>
      <c r="E39" s="81" t="str">
        <f>IFERROR(VLOOKUP(Government_revenues_table[[#This Row],[GFS Classification]],Table6_GFS_codes_classification[],COLUMNS($F:I)+3,FALSE),"Do not enter data")</f>
        <v>Other taxes payable by natural resource companies (116E)</v>
      </c>
      <c r="F39" s="111" t="s">
        <v>476</v>
      </c>
      <c r="G39" s="101" t="s">
        <v>340</v>
      </c>
      <c r="H39" s="111" t="s">
        <v>499</v>
      </c>
      <c r="I39" s="111" t="s">
        <v>324</v>
      </c>
      <c r="J39" s="263">
        <v>0</v>
      </c>
      <c r="K39" s="111" t="s">
        <v>185</v>
      </c>
      <c r="L39" s="111"/>
      <c r="M39" s="319"/>
      <c r="N39" s="319"/>
    </row>
    <row r="40" spans="2:14" ht="15.75" customHeight="1" x14ac:dyDescent="0.35">
      <c r="B40" s="81" t="str">
        <f>IFERROR(VLOOKUP(Government_revenues_table[[#This Row],[GFS Classification]],Table6_GFS_codes_classification[],COLUMNS($F:F)+3,FALSE),"Do not enter data")</f>
        <v>Taxes (11E)</v>
      </c>
      <c r="C40" s="81" t="str">
        <f>IFERROR(VLOOKUP(Government_revenues_table[[#This Row],[GFS Classification]],Table6_GFS_codes_classification[],COLUMNS($F:G)+3,FALSE),"Do not enter data")</f>
        <v>Other taxes payable by natural resource companies (116E)</v>
      </c>
      <c r="D40" s="81" t="str">
        <f>IFERROR(VLOOKUP(Government_revenues_table[[#This Row],[GFS Classification]],Table6_GFS_codes_classification[],COLUMNS($F:H)+3,FALSE),"Do not enter data")</f>
        <v>Other taxes payable by natural resource companies (116E)</v>
      </c>
      <c r="E40" s="81" t="str">
        <f>IFERROR(VLOOKUP(Government_revenues_table[[#This Row],[GFS Classification]],Table6_GFS_codes_classification[],COLUMNS($F:I)+3,FALSE),"Do not enter data")</f>
        <v>Other taxes payable by natural resource companies (116E)</v>
      </c>
      <c r="F40" s="111" t="s">
        <v>476</v>
      </c>
      <c r="G40" s="101" t="s">
        <v>340</v>
      </c>
      <c r="H40" s="111" t="s">
        <v>500</v>
      </c>
      <c r="I40" s="111" t="s">
        <v>324</v>
      </c>
      <c r="J40" s="263">
        <f>1846526272/[1]Sheet1!$T$370</f>
        <v>273506118.91205937</v>
      </c>
      <c r="K40" s="111" t="s">
        <v>185</v>
      </c>
      <c r="L40" s="111"/>
      <c r="M40" s="319"/>
      <c r="N40" s="319"/>
    </row>
    <row r="41" spans="2:14" ht="15.75" customHeight="1" x14ac:dyDescent="0.35">
      <c r="B41" s="81" t="str">
        <f>IFERROR(VLOOKUP(Government_revenues_table[[#This Row],[GFS Classification]],Table6_GFS_codes_classification[],COLUMNS($F:F)+3,FALSE),"Do not enter data")</f>
        <v>Taxes (11E)</v>
      </c>
      <c r="C41" s="81" t="str">
        <f>IFERROR(VLOOKUP(Government_revenues_table[[#This Row],[GFS Classification]],Table6_GFS_codes_classification[],COLUMNS($F:G)+3,FALSE),"Do not enter data")</f>
        <v>Other taxes payable by natural resource companies (116E)</v>
      </c>
      <c r="D41" s="81" t="str">
        <f>IFERROR(VLOOKUP(Government_revenues_table[[#This Row],[GFS Classification]],Table6_GFS_codes_classification[],COLUMNS($F:H)+3,FALSE),"Do not enter data")</f>
        <v>Other taxes payable by natural resource companies (116E)</v>
      </c>
      <c r="E41" s="81" t="str">
        <f>IFERROR(VLOOKUP(Government_revenues_table[[#This Row],[GFS Classification]],Table6_GFS_codes_classification[],COLUMNS($F:I)+3,FALSE),"Do not enter data")</f>
        <v>Other taxes payable by natural resource companies (116E)</v>
      </c>
      <c r="F41" s="111" t="s">
        <v>476</v>
      </c>
      <c r="G41" s="101" t="s">
        <v>340</v>
      </c>
      <c r="H41" s="111" t="s">
        <v>501</v>
      </c>
      <c r="I41" s="111" t="s">
        <v>324</v>
      </c>
      <c r="J41" s="263">
        <v>0</v>
      </c>
      <c r="K41" s="111" t="s">
        <v>185</v>
      </c>
      <c r="L41" s="111"/>
      <c r="M41" s="319"/>
      <c r="N41" s="319"/>
    </row>
    <row r="42" spans="2:14" ht="15.75" customHeight="1" x14ac:dyDescent="0.35">
      <c r="B42" s="81" t="str">
        <f>IFERROR(VLOOKUP(Government_revenues_table[[#This Row],[GFS Classification]],Table6_GFS_codes_classification[],COLUMNS($F:F)+3,FALSE),"Do not enter data")</f>
        <v>Taxes (11E)</v>
      </c>
      <c r="C42" s="81" t="str">
        <f>IFERROR(VLOOKUP(Government_revenues_table[[#This Row],[GFS Classification]],Table6_GFS_codes_classification[],COLUMNS($F:G)+3,FALSE),"Do not enter data")</f>
        <v>Other taxes payable by natural resource companies (116E)</v>
      </c>
      <c r="D42" s="81" t="str">
        <f>IFERROR(VLOOKUP(Government_revenues_table[[#This Row],[GFS Classification]],Table6_GFS_codes_classification[],COLUMNS($F:H)+3,FALSE),"Do not enter data")</f>
        <v>Other taxes payable by natural resource companies (116E)</v>
      </c>
      <c r="E42" s="81" t="str">
        <f>IFERROR(VLOOKUP(Government_revenues_table[[#This Row],[GFS Classification]],Table6_GFS_codes_classification[],COLUMNS($F:I)+3,FALSE),"Do not enter data")</f>
        <v>Other taxes payable by natural resource companies (116E)</v>
      </c>
      <c r="F42" s="111" t="s">
        <v>476</v>
      </c>
      <c r="G42" s="101" t="s">
        <v>340</v>
      </c>
      <c r="H42" s="111" t="s">
        <v>502</v>
      </c>
      <c r="I42" s="111" t="s">
        <v>324</v>
      </c>
      <c r="J42" s="263">
        <v>0</v>
      </c>
      <c r="K42" s="111" t="s">
        <v>185</v>
      </c>
      <c r="L42" s="111"/>
      <c r="M42" s="319"/>
      <c r="N42" s="319"/>
    </row>
    <row r="43" spans="2:14" ht="15.75" customHeight="1" x14ac:dyDescent="0.35">
      <c r="B43" s="81" t="str">
        <f>IFERROR(VLOOKUP(Government_revenues_table[[#This Row],[GFS Classification]],Table6_GFS_codes_classification[],COLUMNS($F:F)+3,FALSE),"Do not enter data")</f>
        <v>Taxes (11E)</v>
      </c>
      <c r="C43" s="81" t="str">
        <f>IFERROR(VLOOKUP(Government_revenues_table[[#This Row],[GFS Classification]],Table6_GFS_codes_classification[],COLUMNS($F:G)+3,FALSE),"Do not enter data")</f>
        <v>Other taxes payable by natural resource companies (116E)</v>
      </c>
      <c r="D43" s="81" t="str">
        <f>IFERROR(VLOOKUP(Government_revenues_table[[#This Row],[GFS Classification]],Table6_GFS_codes_classification[],COLUMNS($F:H)+3,FALSE),"Do not enter data")</f>
        <v>Other taxes payable by natural resource companies (116E)</v>
      </c>
      <c r="E43" s="81" t="str">
        <f>IFERROR(VLOOKUP(Government_revenues_table[[#This Row],[GFS Classification]],Table6_GFS_codes_classification[],COLUMNS($F:I)+3,FALSE),"Do not enter data")</f>
        <v>Other taxes payable by natural resource companies (116E)</v>
      </c>
      <c r="F43" s="111" t="s">
        <v>476</v>
      </c>
      <c r="G43" s="101" t="s">
        <v>340</v>
      </c>
      <c r="H43" s="111" t="s">
        <v>503</v>
      </c>
      <c r="I43" s="111" t="s">
        <v>324</v>
      </c>
      <c r="J43" s="263">
        <v>0</v>
      </c>
      <c r="K43" s="111" t="s">
        <v>185</v>
      </c>
      <c r="L43" s="111"/>
      <c r="M43" s="319"/>
      <c r="N43" s="319"/>
    </row>
    <row r="44" spans="2:14" ht="15.75" customHeight="1" x14ac:dyDescent="0.35">
      <c r="B44" s="81" t="str">
        <f>IFERROR(VLOOKUP(Government_revenues_table[[#This Row],[GFS Classification]],Table6_GFS_codes_classification[],COLUMNS($F:F)+3,FALSE),"Do not enter data")</f>
        <v>Taxes (11E)</v>
      </c>
      <c r="C44" s="81" t="str">
        <f>IFERROR(VLOOKUP(Government_revenues_table[[#This Row],[GFS Classification]],Table6_GFS_codes_classification[],COLUMNS($F:G)+3,FALSE),"Do not enter data")</f>
        <v>Other taxes payable by natural resource companies (116E)</v>
      </c>
      <c r="D44" s="81" t="str">
        <f>IFERROR(VLOOKUP(Government_revenues_table[[#This Row],[GFS Classification]],Table6_GFS_codes_classification[],COLUMNS($F:H)+3,FALSE),"Do not enter data")</f>
        <v>Other taxes payable by natural resource companies (116E)</v>
      </c>
      <c r="E44" s="81" t="str">
        <f>IFERROR(VLOOKUP(Government_revenues_table[[#This Row],[GFS Classification]],Table6_GFS_codes_classification[],COLUMNS($F:I)+3,FALSE),"Do not enter data")</f>
        <v>Other taxes payable by natural resource companies (116E)</v>
      </c>
      <c r="F44" s="111" t="s">
        <v>476</v>
      </c>
      <c r="G44" s="101" t="s">
        <v>340</v>
      </c>
      <c r="H44" s="111" t="s">
        <v>504</v>
      </c>
      <c r="I44" s="111" t="s">
        <v>324</v>
      </c>
      <c r="J44" s="263">
        <f>36350552.5/[1]Sheet1!$T$370</f>
        <v>5384217.2111722091</v>
      </c>
      <c r="K44" s="111" t="s">
        <v>185</v>
      </c>
      <c r="L44" s="111"/>
      <c r="M44" s="319"/>
      <c r="N44" s="319"/>
    </row>
    <row r="45" spans="2:14" ht="15.75" customHeight="1" x14ac:dyDescent="0.35">
      <c r="B45" s="81" t="str">
        <f>IFERROR(VLOOKUP(Government_revenues_table[[#This Row],[GFS Classification]],Table6_GFS_codes_classification[],COLUMNS($F:F)+3,FALSE),"Do not enter data")</f>
        <v>Other revenue (14E)</v>
      </c>
      <c r="C45" s="81" t="str">
        <f>IFERROR(VLOOKUP(Government_revenues_table[[#This Row],[GFS Classification]],Table6_GFS_codes_classification[],COLUMNS($F:G)+3,FALSE),"Do not enter data")</f>
        <v>Property income (141E)</v>
      </c>
      <c r="D45" s="81" t="str">
        <f>IFERROR(VLOOKUP(Government_revenues_table[[#This Row],[GFS Classification]],Table6_GFS_codes_classification[],COLUMNS($F:H)+3,FALSE),"Do not enter data")</f>
        <v>Rent (1415E)</v>
      </c>
      <c r="E45" s="81" t="str">
        <f>IFERROR(VLOOKUP(Government_revenues_table[[#This Row],[GFS Classification]],Table6_GFS_codes_classification[],COLUMNS($F:I)+3,FALSE),"Do not enter data")</f>
        <v>Royalties (1415E1)</v>
      </c>
      <c r="F45" s="111" t="s">
        <v>505</v>
      </c>
      <c r="G45" s="101" t="s">
        <v>340</v>
      </c>
      <c r="H45" s="111" t="s">
        <v>506</v>
      </c>
      <c r="I45" s="111" t="s">
        <v>324</v>
      </c>
      <c r="J45" s="263">
        <f>1791743309.91/[1]Sheet1!$T$370</f>
        <v>265391706.69331872</v>
      </c>
      <c r="K45" s="111" t="s">
        <v>185</v>
      </c>
      <c r="L45" s="111"/>
      <c r="M45" s="319"/>
      <c r="N45" s="319"/>
    </row>
    <row r="46" spans="2:14" ht="15.75" customHeight="1" x14ac:dyDescent="0.35">
      <c r="B46" s="81"/>
      <c r="C46" s="81"/>
      <c r="D46" s="81"/>
      <c r="E46" s="81"/>
      <c r="F46" s="111" t="s">
        <v>505</v>
      </c>
      <c r="G46" s="111" t="s">
        <v>435</v>
      </c>
      <c r="H46" s="111" t="s">
        <v>506</v>
      </c>
      <c r="I46" s="111" t="s">
        <v>324</v>
      </c>
      <c r="J46" s="117">
        <f>374710/[1]Sheet1!$T$370</f>
        <v>55501.770741953333</v>
      </c>
      <c r="K46" s="111" t="s">
        <v>185</v>
      </c>
      <c r="L46" s="111"/>
      <c r="M46" s="319"/>
      <c r="N46" s="319"/>
    </row>
    <row r="47" spans="2:14" ht="15.75" customHeight="1" x14ac:dyDescent="0.35">
      <c r="B47" s="81" t="str">
        <f>IFERROR(VLOOKUP(Government_revenues_table[[#This Row],[GFS Classification]],Table6_GFS_codes_classification[],COLUMNS($F:F)+3,FALSE),"Do not enter data")</f>
        <v>Taxes (11E)</v>
      </c>
      <c r="C47" s="81" t="str">
        <f>IFERROR(VLOOKUP(Government_revenues_table[[#This Row],[GFS Classification]],Table6_GFS_codes_classification[],COLUMNS($F:G)+3,FALSE),"Do not enter data")</f>
        <v>Other taxes payable by natural resource companies (116E)</v>
      </c>
      <c r="D47" s="81" t="str">
        <f>IFERROR(VLOOKUP(Government_revenues_table[[#This Row],[GFS Classification]],Table6_GFS_codes_classification[],COLUMNS($F:H)+3,FALSE),"Do not enter data")</f>
        <v>Other taxes payable by natural resource companies (116E)</v>
      </c>
      <c r="E47" s="81" t="str">
        <f>IFERROR(VLOOKUP(Government_revenues_table[[#This Row],[GFS Classification]],Table6_GFS_codes_classification[],COLUMNS($F:I)+3,FALSE),"Do not enter data")</f>
        <v>Other taxes payable by natural resource companies (116E)</v>
      </c>
      <c r="F47" s="111" t="s">
        <v>476</v>
      </c>
      <c r="G47" s="101" t="s">
        <v>340</v>
      </c>
      <c r="H47" s="111" t="s">
        <v>507</v>
      </c>
      <c r="I47" s="111" t="s">
        <v>324</v>
      </c>
      <c r="J47" s="263">
        <f>(8383932.41+3064914.49)/[1]Sheet1!$T$370</f>
        <v>1695794.8170679274</v>
      </c>
      <c r="K47" s="111" t="s">
        <v>185</v>
      </c>
      <c r="L47" s="111"/>
      <c r="M47" s="319"/>
      <c r="N47" s="319"/>
    </row>
    <row r="48" spans="2:14" ht="15.75" customHeight="1" x14ac:dyDescent="0.35">
      <c r="B48" s="81" t="str">
        <f>IFERROR(VLOOKUP(Government_revenues_table[[#This Row],[GFS Classification]],Table6_GFS_codes_classification[],COLUMNS($F:F)+3,FALSE),"Do not enter data")</f>
        <v>Taxes (11E)</v>
      </c>
      <c r="C48" s="81" t="str">
        <f>IFERROR(VLOOKUP(Government_revenues_table[[#This Row],[GFS Classification]],Table6_GFS_codes_classification[],COLUMNS($F:G)+3,FALSE),"Do not enter data")</f>
        <v>Other taxes payable by natural resource companies (116E)</v>
      </c>
      <c r="D48" s="81" t="str">
        <f>IFERROR(VLOOKUP(Government_revenues_table[[#This Row],[GFS Classification]],Table6_GFS_codes_classification[],COLUMNS($F:H)+3,FALSE),"Do not enter data")</f>
        <v>Other taxes payable by natural resource companies (116E)</v>
      </c>
      <c r="E48" s="81" t="str">
        <f>IFERROR(VLOOKUP(Government_revenues_table[[#This Row],[GFS Classification]],Table6_GFS_codes_classification[],COLUMNS($F:I)+3,FALSE),"Do not enter data")</f>
        <v>Other taxes payable by natural resource companies (116E)</v>
      </c>
      <c r="F48" s="111" t="s">
        <v>476</v>
      </c>
      <c r="G48" s="101" t="s">
        <v>340</v>
      </c>
      <c r="H48" s="111" t="s">
        <v>508</v>
      </c>
      <c r="I48" s="111" t="s">
        <v>322</v>
      </c>
      <c r="J48" s="263">
        <f>409420993.2/[1]Sheet1!$T$370</f>
        <v>60643137.630512215</v>
      </c>
      <c r="K48" s="111" t="s">
        <v>185</v>
      </c>
      <c r="L48" s="111"/>
      <c r="M48" s="319"/>
      <c r="N48" s="319"/>
    </row>
    <row r="49" spans="2:20" ht="15.75" customHeight="1" x14ac:dyDescent="0.35">
      <c r="B49" s="81" t="str">
        <f>IFERROR(VLOOKUP(Government_revenues_table[[#This Row],[GFS Classification]],Table6_GFS_codes_classification[],COLUMNS($F:F)+3,FALSE),"Do not enter data")</f>
        <v>Taxes (11E)</v>
      </c>
      <c r="C49" s="81" t="str">
        <f>IFERROR(VLOOKUP(Government_revenues_table[[#This Row],[GFS Classification]],Table6_GFS_codes_classification[],COLUMNS($F:G)+3,FALSE),"Do not enter data")</f>
        <v>Other taxes payable by natural resource companies (116E)</v>
      </c>
      <c r="D49" s="81" t="str">
        <f>IFERROR(VLOOKUP(Government_revenues_table[[#This Row],[GFS Classification]],Table6_GFS_codes_classification[],COLUMNS($F:H)+3,FALSE),"Do not enter data")</f>
        <v>Other taxes payable by natural resource companies (116E)</v>
      </c>
      <c r="E49" s="81" t="str">
        <f>IFERROR(VLOOKUP(Government_revenues_table[[#This Row],[GFS Classification]],Table6_GFS_codes_classification[],COLUMNS($F:I)+3,FALSE),"Do not enter data")</f>
        <v>Other taxes payable by natural resource companies (116E)</v>
      </c>
      <c r="F49" s="111" t="s">
        <v>476</v>
      </c>
      <c r="G49" s="101" t="s">
        <v>340</v>
      </c>
      <c r="H49" s="111" t="s">
        <v>509</v>
      </c>
      <c r="I49" s="111" t="s">
        <v>324</v>
      </c>
      <c r="J49" s="263">
        <f>13503400/[1]Sheet1!$T$370</f>
        <v>2000113.717373149</v>
      </c>
      <c r="K49" s="111" t="s">
        <v>185</v>
      </c>
      <c r="L49" s="111"/>
      <c r="M49" s="319"/>
      <c r="N49" s="319"/>
      <c r="O49" s="111"/>
      <c r="P49" s="111"/>
      <c r="Q49" s="111"/>
      <c r="R49" s="111"/>
      <c r="S49" s="111"/>
      <c r="T49" s="111"/>
    </row>
    <row r="50" spans="2:20" ht="15.75" customHeight="1" x14ac:dyDescent="0.35">
      <c r="B50" s="81" t="str">
        <f>IFERROR(VLOOKUP(Government_revenues_table[[#This Row],[GFS Classification]],Table6_GFS_codes_classification[],COLUMNS($F:F)+3,FALSE),"Do not enter data")</f>
        <v>Taxes (11E)</v>
      </c>
      <c r="C50" s="81" t="str">
        <f>IFERROR(VLOOKUP(Government_revenues_table[[#This Row],[GFS Classification]],Table6_GFS_codes_classification[],COLUMNS($F:G)+3,FALSE),"Do not enter data")</f>
        <v>Other taxes payable by natural resource companies (116E)</v>
      </c>
      <c r="D50" s="81" t="str">
        <f>IFERROR(VLOOKUP(Government_revenues_table[[#This Row],[GFS Classification]],Table6_GFS_codes_classification[],COLUMNS($F:H)+3,FALSE),"Do not enter data")</f>
        <v>Other taxes payable by natural resource companies (116E)</v>
      </c>
      <c r="E50" s="81" t="str">
        <f>IFERROR(VLOOKUP(Government_revenues_table[[#This Row],[GFS Classification]],Table6_GFS_codes_classification[],COLUMNS($F:I)+3,FALSE),"Do not enter data")</f>
        <v>Other taxes payable by natural resource companies (116E)</v>
      </c>
      <c r="F50" s="111" t="s">
        <v>476</v>
      </c>
      <c r="G50" s="101" t="s">
        <v>340</v>
      </c>
      <c r="H50" s="111" t="s">
        <v>510</v>
      </c>
      <c r="I50" s="111" t="s">
        <v>324</v>
      </c>
      <c r="J50" s="263">
        <f>34399580.42/[1]Sheet1!$T$370</f>
        <v>5095240.6556809982</v>
      </c>
      <c r="K50" s="111" t="s">
        <v>185</v>
      </c>
      <c r="L50" s="111"/>
      <c r="M50" s="319"/>
      <c r="N50" s="319"/>
      <c r="O50" s="111"/>
      <c r="P50" s="111"/>
      <c r="Q50" s="111"/>
      <c r="R50" s="111"/>
      <c r="S50" s="111"/>
      <c r="T50" s="111"/>
    </row>
    <row r="51" spans="2:20" ht="15.75" customHeight="1" x14ac:dyDescent="0.35">
      <c r="B51" s="81" t="str">
        <f>IFERROR(VLOOKUP(Government_revenues_table[[#This Row],[GFS Classification]],Table6_GFS_codes_classification[],COLUMNS($F:F)+3,FALSE),"Do not enter data")</f>
        <v>Taxes (11E)</v>
      </c>
      <c r="C51" s="81" t="str">
        <f>IFERROR(VLOOKUP(Government_revenues_table[[#This Row],[GFS Classification]],Table6_GFS_codes_classification[],COLUMNS($F:G)+3,FALSE),"Do not enter data")</f>
        <v>Other taxes payable by natural resource companies (116E)</v>
      </c>
      <c r="D51" s="81" t="str">
        <f>IFERROR(VLOOKUP(Government_revenues_table[[#This Row],[GFS Classification]],Table6_GFS_codes_classification[],COLUMNS($F:H)+3,FALSE),"Do not enter data")</f>
        <v>Other taxes payable by natural resource companies (116E)</v>
      </c>
      <c r="E51" s="81" t="str">
        <f>IFERROR(VLOOKUP(Government_revenues_table[[#This Row],[GFS Classification]],Table6_GFS_codes_classification[],COLUMNS($F:I)+3,FALSE),"Do not enter data")</f>
        <v>Other taxes payable by natural resource companies (116E)</v>
      </c>
      <c r="F51" s="111" t="s">
        <v>476</v>
      </c>
      <c r="G51" s="101" t="s">
        <v>340</v>
      </c>
      <c r="H51" s="111" t="s">
        <v>511</v>
      </c>
      <c r="I51" s="111" t="s">
        <v>324</v>
      </c>
      <c r="J51" s="263">
        <v>0</v>
      </c>
      <c r="K51" s="111" t="s">
        <v>185</v>
      </c>
      <c r="L51" s="111"/>
      <c r="M51" s="319"/>
      <c r="N51" s="319"/>
      <c r="O51" s="111"/>
      <c r="P51" s="111"/>
      <c r="Q51" s="111"/>
      <c r="R51" s="111"/>
      <c r="S51" s="111"/>
      <c r="T51" s="111"/>
    </row>
    <row r="52" spans="2:20" x14ac:dyDescent="0.35">
      <c r="B52" s="81" t="str">
        <f>IFERROR(VLOOKUP(Government_revenues_table[[#This Row],[GFS Classification]],Table6_GFS_codes_classification[],COLUMNS($F:F)+3,FALSE),"Do not enter data")</f>
        <v>Taxes (11E)</v>
      </c>
      <c r="C52" s="81" t="str">
        <f>IFERROR(VLOOKUP(Government_revenues_table[[#This Row],[GFS Classification]],Table6_GFS_codes_classification[],COLUMNS($F:G)+3,FALSE),"Do not enter data")</f>
        <v>Other taxes payable by natural resource companies (116E)</v>
      </c>
      <c r="D52" s="81" t="str">
        <f>IFERROR(VLOOKUP(Government_revenues_table[[#This Row],[GFS Classification]],Table6_GFS_codes_classification[],COLUMNS($F:H)+3,FALSE),"Do not enter data")</f>
        <v>Other taxes payable by natural resource companies (116E)</v>
      </c>
      <c r="E52" s="81" t="str">
        <f>IFERROR(VLOOKUP(Government_revenues_table[[#This Row],[GFS Classification]],Table6_GFS_codes_classification[],COLUMNS($F:I)+3,FALSE),"Do not enter data")</f>
        <v>Other taxes payable by natural resource companies (116E)</v>
      </c>
      <c r="F52" s="111" t="s">
        <v>476</v>
      </c>
      <c r="G52" s="101" t="s">
        <v>340</v>
      </c>
      <c r="H52" s="111" t="s">
        <v>512</v>
      </c>
      <c r="I52" s="111" t="s">
        <v>322</v>
      </c>
      <c r="J52" s="263">
        <f>162018062.8/[1]Sheet1!$T$370</f>
        <v>23997996.791067753</v>
      </c>
      <c r="K52" s="111" t="s">
        <v>185</v>
      </c>
      <c r="L52" s="111"/>
      <c r="M52" s="111"/>
      <c r="N52" s="111"/>
      <c r="O52" s="111"/>
      <c r="P52" s="111"/>
      <c r="Q52" s="111"/>
      <c r="R52" s="111"/>
      <c r="S52" s="111"/>
      <c r="T52" s="111"/>
    </row>
    <row r="53" spans="2:20" ht="15.6" x14ac:dyDescent="0.35">
      <c r="B53" s="81" t="str">
        <f>IFERROR(VLOOKUP(Government_revenues_table[[#This Row],[GFS Classification]],Table6_GFS_codes_classification[],COLUMNS($F:F)+3,FALSE),"Do not enter data")</f>
        <v>Taxes (11E)</v>
      </c>
      <c r="C53" s="81" t="str">
        <f>IFERROR(VLOOKUP(Government_revenues_table[[#This Row],[GFS Classification]],Table6_GFS_codes_classification[],COLUMNS($F:G)+3,FALSE),"Do not enter data")</f>
        <v>Taxes on income, profits and capital gains (111E)</v>
      </c>
      <c r="D53" s="81" t="str">
        <f>IFERROR(VLOOKUP(Government_revenues_table[[#This Row],[GFS Classification]],Table6_GFS_codes_classification[],COLUMNS($F:H)+3,FALSE),"Do not enter data")</f>
        <v>Extraordinary taxes on income, profits and capital gains (1112E2)</v>
      </c>
      <c r="E53" s="81" t="str">
        <f>IFERROR(VLOOKUP(Government_revenues_table[[#This Row],[GFS Classification]],Table6_GFS_codes_classification[],COLUMNS($F:I)+3,FALSE),"Do not enter data")</f>
        <v>Extraordinary taxes on income, profits and capital gains (1112E2)</v>
      </c>
      <c r="F53" s="111" t="s">
        <v>513</v>
      </c>
      <c r="G53" s="101" t="s">
        <v>340</v>
      </c>
      <c r="H53" s="272" t="s">
        <v>514</v>
      </c>
      <c r="I53" s="111" t="s">
        <v>322</v>
      </c>
      <c r="J53" s="263">
        <f>24976012.04/[1]Sheet1!$T$370</f>
        <v>3699428.6095709912</v>
      </c>
      <c r="K53" s="111" t="s">
        <v>185</v>
      </c>
      <c r="L53" s="111"/>
      <c r="M53" s="111"/>
      <c r="N53" s="111"/>
      <c r="O53" s="111"/>
      <c r="P53" s="111"/>
      <c r="Q53" s="111"/>
      <c r="R53" s="111"/>
      <c r="S53" s="111"/>
      <c r="T53" s="111"/>
    </row>
    <row r="54" spans="2:20" x14ac:dyDescent="0.35">
      <c r="B54" s="81" t="str">
        <f>IFERROR(VLOOKUP(Government_revenues_table[[#This Row],[GFS Classification]],Table6_GFS_codes_classification[],COLUMNS($F:F)+3,FALSE),"Do not enter data")</f>
        <v>Taxes (11E)</v>
      </c>
      <c r="C54" s="81" t="str">
        <f>IFERROR(VLOOKUP(Government_revenues_table[[#This Row],[GFS Classification]],Table6_GFS_codes_classification[],COLUMNS($F:G)+3,FALSE),"Do not enter data")</f>
        <v>Taxes on income, profits and capital gains (111E)</v>
      </c>
      <c r="D54" s="81" t="str">
        <f>IFERROR(VLOOKUP(Government_revenues_table[[#This Row],[GFS Classification]],Table6_GFS_codes_classification[],COLUMNS($F:H)+3,FALSE),"Do not enter data")</f>
        <v>Extraordinary taxes on income, profits and capital gains (1112E2)</v>
      </c>
      <c r="E54" s="81" t="str">
        <f>IFERROR(VLOOKUP(Government_revenues_table[[#This Row],[GFS Classification]],Table6_GFS_codes_classification[],COLUMNS($F:I)+3,FALSE),"Do not enter data")</f>
        <v>Extraordinary taxes on income, profits and capital gains (1112E2)</v>
      </c>
      <c r="F54" s="111" t="s">
        <v>513</v>
      </c>
      <c r="G54" s="101" t="s">
        <v>340</v>
      </c>
      <c r="H54" s="111" t="s">
        <v>515</v>
      </c>
      <c r="I54" s="111" t="s">
        <v>322</v>
      </c>
      <c r="J54" s="263">
        <f>77782650/[1]Sheet1!$T$370</f>
        <v>11521109.145743633</v>
      </c>
      <c r="K54" s="111" t="s">
        <v>185</v>
      </c>
      <c r="L54" s="111"/>
      <c r="M54" s="111"/>
      <c r="N54" s="111"/>
      <c r="O54" s="111"/>
      <c r="P54" s="111"/>
      <c r="Q54" s="111"/>
      <c r="R54" s="264"/>
      <c r="S54" s="111"/>
      <c r="T54" s="111"/>
    </row>
    <row r="55" spans="2:20" x14ac:dyDescent="0.35">
      <c r="B55" s="81"/>
      <c r="C55" s="81"/>
      <c r="D55" s="81"/>
      <c r="E55" s="81"/>
      <c r="F55" s="111"/>
      <c r="G55" s="111"/>
      <c r="H55" s="111"/>
      <c r="I55" s="111"/>
      <c r="J55" s="265"/>
      <c r="K55" s="111"/>
      <c r="L55" s="111"/>
      <c r="M55" s="111"/>
      <c r="N55" s="111"/>
      <c r="O55" s="111"/>
      <c r="P55" s="111"/>
      <c r="Q55" s="111"/>
      <c r="R55" s="111"/>
      <c r="S55" s="111"/>
      <c r="T55" s="111"/>
    </row>
    <row r="56" spans="2:20" x14ac:dyDescent="0.35">
      <c r="B56" s="81"/>
      <c r="C56" s="81"/>
      <c r="D56" s="81"/>
      <c r="E56" s="81"/>
      <c r="F56" s="111"/>
      <c r="G56" s="111"/>
      <c r="H56" s="111"/>
      <c r="I56" s="111"/>
      <c r="J56" s="265"/>
      <c r="K56" s="111"/>
      <c r="L56" s="111"/>
      <c r="M56" s="111"/>
      <c r="N56" s="111"/>
      <c r="O56" s="111"/>
      <c r="P56" s="111"/>
      <c r="Q56" s="111"/>
      <c r="R56" s="111"/>
      <c r="S56" s="111"/>
      <c r="T56" s="111"/>
    </row>
    <row r="57" spans="2:20" x14ac:dyDescent="0.35">
      <c r="B57" s="81"/>
      <c r="C57" s="81"/>
      <c r="D57" s="81"/>
      <c r="E57" s="81"/>
      <c r="F57" s="111"/>
      <c r="G57" s="111"/>
      <c r="H57" s="111"/>
      <c r="I57" s="111"/>
      <c r="J57" s="265"/>
      <c r="K57" s="111"/>
      <c r="L57" s="111"/>
      <c r="M57" s="111"/>
      <c r="N57" s="111"/>
      <c r="O57" s="111"/>
      <c r="P57" s="111"/>
      <c r="Q57" s="111"/>
      <c r="R57" s="111"/>
      <c r="S57" s="111"/>
      <c r="T57" s="264"/>
    </row>
    <row r="58" spans="2:20" x14ac:dyDescent="0.35">
      <c r="B58" s="81"/>
      <c r="C58" s="81"/>
      <c r="D58" s="81"/>
      <c r="E58" s="81"/>
      <c r="F58" s="111"/>
      <c r="G58" s="111"/>
      <c r="H58" s="111"/>
      <c r="I58" s="111"/>
      <c r="J58" s="265"/>
      <c r="K58" s="111"/>
      <c r="L58" s="111"/>
      <c r="M58" s="111"/>
      <c r="N58" s="111"/>
      <c r="O58" s="111"/>
      <c r="P58" s="111"/>
      <c r="Q58" s="111"/>
      <c r="R58" s="111"/>
      <c r="S58" s="111"/>
      <c r="T58" s="266"/>
    </row>
    <row r="59" spans="2:20" x14ac:dyDescent="0.35">
      <c r="B59" s="81"/>
      <c r="C59" s="81"/>
      <c r="D59" s="81"/>
      <c r="E59" s="81"/>
      <c r="F59" s="111"/>
      <c r="G59" s="111"/>
      <c r="H59" s="111"/>
      <c r="I59" s="111"/>
      <c r="J59" s="265"/>
      <c r="K59" s="111"/>
      <c r="L59" s="111"/>
      <c r="M59" s="111"/>
      <c r="N59" s="111"/>
      <c r="O59" s="111"/>
      <c r="P59" s="111"/>
      <c r="Q59" s="111"/>
      <c r="R59" s="111"/>
      <c r="S59" s="111"/>
      <c r="T59" s="111"/>
    </row>
    <row r="60" spans="2:20" x14ac:dyDescent="0.35">
      <c r="B60" s="81"/>
      <c r="C60" s="81"/>
      <c r="D60" s="81"/>
      <c r="E60" s="81"/>
      <c r="F60" s="111"/>
      <c r="G60" s="111"/>
      <c r="H60" s="111"/>
      <c r="I60" s="111"/>
      <c r="J60" s="265"/>
      <c r="K60" s="111"/>
      <c r="L60" s="111"/>
      <c r="M60" s="111"/>
      <c r="N60" s="111"/>
      <c r="O60" s="111"/>
      <c r="P60" s="111"/>
      <c r="Q60" s="111"/>
      <c r="R60" s="264"/>
      <c r="S60" s="111"/>
      <c r="T60" s="111"/>
    </row>
    <row r="61" spans="2:20" x14ac:dyDescent="0.35">
      <c r="B61" s="81"/>
      <c r="C61" s="81"/>
      <c r="D61" s="81"/>
      <c r="E61" s="81"/>
      <c r="F61" s="111"/>
      <c r="G61" s="111"/>
      <c r="H61" s="111"/>
      <c r="I61" s="111"/>
      <c r="J61" s="265"/>
      <c r="K61" s="111"/>
      <c r="L61" s="111"/>
      <c r="M61" s="111"/>
      <c r="N61" s="111"/>
      <c r="O61" s="111"/>
      <c r="P61" s="111"/>
      <c r="Q61" s="111"/>
      <c r="R61" s="266"/>
      <c r="S61" s="111"/>
      <c r="T61" s="264"/>
    </row>
    <row r="62" spans="2:20" x14ac:dyDescent="0.35">
      <c r="B62" s="81"/>
      <c r="C62" s="81"/>
      <c r="D62" s="81"/>
      <c r="E62" s="81"/>
      <c r="F62" s="111"/>
      <c r="G62" s="111"/>
      <c r="H62" s="111"/>
      <c r="I62" s="111"/>
      <c r="J62" s="265"/>
      <c r="K62" s="111"/>
      <c r="L62" s="111"/>
      <c r="M62" s="111"/>
      <c r="N62" s="111"/>
      <c r="O62" s="111"/>
      <c r="P62" s="111"/>
      <c r="Q62" s="111"/>
      <c r="R62" s="266"/>
      <c r="S62" s="111"/>
      <c r="T62" s="266"/>
    </row>
    <row r="63" spans="2:20" x14ac:dyDescent="0.35">
      <c r="B63" s="82"/>
      <c r="C63" s="82"/>
      <c r="D63" s="82"/>
      <c r="E63" s="82"/>
      <c r="F63" s="111"/>
      <c r="G63" s="111"/>
      <c r="H63" s="111"/>
      <c r="I63" s="111"/>
      <c r="J63" s="265"/>
      <c r="K63" s="111"/>
      <c r="L63" s="111"/>
      <c r="M63" s="111"/>
      <c r="N63" s="111"/>
      <c r="O63" s="111"/>
      <c r="P63" s="111"/>
      <c r="Q63" s="111"/>
      <c r="R63" s="266"/>
      <c r="S63" s="111"/>
      <c r="T63" s="264"/>
    </row>
    <row r="64" spans="2:20" x14ac:dyDescent="0.35">
      <c r="B64" s="81"/>
      <c r="C64" s="81"/>
      <c r="D64" s="81"/>
      <c r="E64" s="81"/>
      <c r="F64" s="111"/>
      <c r="G64" s="111"/>
      <c r="H64" s="111"/>
      <c r="I64" s="111"/>
      <c r="J64" s="265"/>
      <c r="K64" s="111"/>
      <c r="L64" s="111"/>
      <c r="M64" s="111"/>
      <c r="N64" s="111"/>
      <c r="O64" s="111"/>
      <c r="P64" s="111"/>
      <c r="Q64" s="111"/>
      <c r="R64" s="111"/>
      <c r="S64" s="111"/>
      <c r="T64" s="264"/>
    </row>
    <row r="65" spans="2:20" x14ac:dyDescent="0.35">
      <c r="B65" s="81"/>
      <c r="C65" s="81"/>
      <c r="D65" s="81"/>
      <c r="E65" s="81"/>
      <c r="F65" s="111"/>
      <c r="G65" s="111"/>
      <c r="H65" s="111"/>
      <c r="I65" s="111"/>
      <c r="J65" s="265"/>
      <c r="K65" s="111"/>
      <c r="L65" s="111"/>
      <c r="M65" s="111"/>
      <c r="N65" s="111"/>
      <c r="O65" s="111"/>
      <c r="P65" s="111"/>
      <c r="Q65" s="111"/>
      <c r="R65" s="111"/>
      <c r="S65" s="111"/>
      <c r="T65" s="111"/>
    </row>
    <row r="66" spans="2:20" x14ac:dyDescent="0.35">
      <c r="B66" s="81"/>
      <c r="C66" s="81"/>
      <c r="D66" s="81"/>
      <c r="E66" s="81"/>
      <c r="F66" s="111"/>
      <c r="G66" s="111"/>
      <c r="H66" s="111"/>
      <c r="I66" s="111"/>
      <c r="J66" s="265"/>
      <c r="K66" s="111"/>
      <c r="L66" s="111"/>
      <c r="M66" s="111"/>
      <c r="N66" s="111"/>
      <c r="O66" s="111"/>
      <c r="P66" s="111"/>
      <c r="Q66" s="111"/>
      <c r="R66" s="111"/>
      <c r="S66" s="111"/>
      <c r="T66" s="266"/>
    </row>
    <row r="67" spans="2:20" ht="15.6" thickBot="1" x14ac:dyDescent="0.4">
      <c r="B67" s="111"/>
      <c r="C67" s="111"/>
      <c r="D67" s="111"/>
      <c r="E67" s="111"/>
      <c r="F67" s="111"/>
      <c r="G67" s="111"/>
      <c r="H67" s="111"/>
      <c r="I67" s="111"/>
      <c r="J67" s="111"/>
      <c r="K67" s="111"/>
      <c r="L67" s="111"/>
      <c r="M67" s="111"/>
      <c r="N67" s="111"/>
      <c r="O67" s="111"/>
      <c r="P67" s="111"/>
      <c r="Q67" s="111"/>
      <c r="R67" s="111"/>
      <c r="S67" s="111"/>
      <c r="T67" s="111"/>
    </row>
    <row r="68" spans="2:20" ht="16.8" thickBot="1" x14ac:dyDescent="0.4">
      <c r="B68" s="111"/>
      <c r="C68" s="111"/>
      <c r="D68" s="111"/>
      <c r="E68" s="111"/>
      <c r="F68" s="111"/>
      <c r="G68" s="111"/>
      <c r="H68" s="111"/>
      <c r="I68" s="104" t="s">
        <v>516</v>
      </c>
      <c r="J68" s="80">
        <f>SUMIF(Government_revenues_table[Currency],"USD",Government_revenues_table[Revenue value])+(IFERROR(SUMIF(Government_revenues_table[Currency],"&lt;&gt;USD",Government_revenues_table[Revenue value])/#REF!,0))</f>
        <v>976771432.26668394</v>
      </c>
      <c r="K68" s="111"/>
      <c r="L68" s="111"/>
      <c r="M68" s="111"/>
      <c r="N68" s="111"/>
      <c r="O68" s="111"/>
      <c r="P68" s="111"/>
      <c r="Q68" s="111"/>
      <c r="R68" s="111"/>
      <c r="S68" s="111"/>
      <c r="T68" s="266"/>
    </row>
    <row r="69" spans="2:20" ht="21" customHeight="1" thickBot="1" x14ac:dyDescent="0.4">
      <c r="B69" s="111"/>
      <c r="C69" s="111"/>
      <c r="D69" s="111"/>
      <c r="E69" s="111"/>
      <c r="F69" s="111"/>
      <c r="G69" s="111"/>
      <c r="H69" s="111"/>
      <c r="I69" s="7"/>
      <c r="J69" s="264"/>
      <c r="K69" s="111"/>
      <c r="L69" s="111"/>
      <c r="M69" s="111"/>
      <c r="N69" s="111"/>
      <c r="O69" s="111"/>
      <c r="P69" s="111"/>
      <c r="Q69" s="111"/>
      <c r="R69" s="111"/>
      <c r="S69" s="111"/>
      <c r="T69" s="111"/>
    </row>
    <row r="70" spans="2:20" ht="16.8" thickBot="1" x14ac:dyDescent="0.4">
      <c r="B70" s="111"/>
      <c r="C70" s="111"/>
      <c r="D70" s="111"/>
      <c r="E70" s="111"/>
      <c r="F70" s="111"/>
      <c r="G70" s="111"/>
      <c r="H70" s="111"/>
      <c r="I70" s="104" t="str">
        <f>"Total in "&amp;'Part 1 - About'!E44</f>
        <v>Total in TTD</v>
      </c>
      <c r="J70" s="80">
        <f>IF('Part 1 - About'!$E$44="USD",0,SUMIF(Government_revenues_table[Currency],'Part 1 - About'!$E$44,Government_revenues_table[Revenue value]))+(IFERROR(SUMIF(Government_revenues_table[Currency],"USD",Government_revenues_table[Revenue value])*'Part 1 - About'!$E$45,0))</f>
        <v>6564294733.4050226</v>
      </c>
      <c r="K70" s="111"/>
      <c r="L70" s="111"/>
      <c r="M70" s="111"/>
      <c r="N70" s="111"/>
      <c r="O70" s="111"/>
      <c r="P70" s="111"/>
      <c r="Q70" s="111"/>
      <c r="R70" s="111"/>
      <c r="S70" s="111"/>
      <c r="T70" s="111"/>
    </row>
    <row r="74" spans="2:20" ht="24" x14ac:dyDescent="0.35">
      <c r="B74" s="111"/>
      <c r="C74" s="111"/>
      <c r="D74" s="111"/>
      <c r="E74" s="111"/>
      <c r="F74" s="77" t="s">
        <v>517</v>
      </c>
      <c r="G74" s="77"/>
      <c r="H74" s="94"/>
      <c r="I74" s="94"/>
      <c r="J74" s="94"/>
      <c r="K74" s="94"/>
      <c r="L74" s="111"/>
      <c r="M74" s="111"/>
      <c r="N74" s="111"/>
      <c r="O74" s="111"/>
      <c r="P74" s="111"/>
      <c r="Q74" s="111"/>
      <c r="R74" s="111"/>
      <c r="S74" s="111"/>
      <c r="T74" s="111"/>
    </row>
    <row r="75" spans="2:20" x14ac:dyDescent="0.35">
      <c r="B75" s="111"/>
      <c r="C75" s="111"/>
      <c r="D75" s="111"/>
      <c r="E75" s="111"/>
      <c r="F75" s="83" t="s">
        <v>518</v>
      </c>
      <c r="G75" s="84"/>
      <c r="H75" s="84"/>
      <c r="I75" s="84"/>
      <c r="J75" s="85"/>
      <c r="K75" s="84"/>
      <c r="L75" s="111"/>
      <c r="M75" s="111"/>
      <c r="N75" s="111"/>
      <c r="O75" s="111"/>
      <c r="P75" s="111"/>
      <c r="Q75" s="111"/>
      <c r="R75" s="111"/>
      <c r="S75" s="111"/>
      <c r="T75" s="111"/>
    </row>
    <row r="76" spans="2:20" x14ac:dyDescent="0.35">
      <c r="B76" s="111"/>
      <c r="C76" s="111"/>
      <c r="D76" s="111"/>
      <c r="E76" s="111"/>
      <c r="F76" s="83"/>
      <c r="G76" s="84"/>
      <c r="H76" s="84"/>
      <c r="I76" s="84"/>
      <c r="J76" s="85"/>
      <c r="K76" s="84"/>
      <c r="L76" s="111"/>
      <c r="M76" s="111"/>
      <c r="N76" s="111"/>
      <c r="O76" s="111"/>
      <c r="P76" s="111"/>
      <c r="Q76" s="111"/>
      <c r="R76" s="111"/>
      <c r="S76" s="111"/>
      <c r="T76" s="111"/>
    </row>
    <row r="77" spans="2:20" x14ac:dyDescent="0.35">
      <c r="B77" s="111"/>
      <c r="C77" s="111"/>
      <c r="D77" s="111"/>
      <c r="E77" s="111"/>
      <c r="F77" s="83"/>
      <c r="G77" s="84"/>
      <c r="H77" s="84"/>
      <c r="I77" s="84"/>
      <c r="J77" s="85"/>
      <c r="K77" s="84"/>
      <c r="L77" s="111"/>
      <c r="M77" s="111"/>
      <c r="N77" s="111"/>
      <c r="O77" s="111"/>
      <c r="P77" s="111"/>
      <c r="Q77" s="111"/>
      <c r="R77" s="111"/>
      <c r="S77" s="111"/>
      <c r="T77" s="111"/>
    </row>
    <row r="78" spans="2:20" x14ac:dyDescent="0.35">
      <c r="B78" s="111"/>
      <c r="C78" s="111"/>
      <c r="D78" s="111"/>
      <c r="E78" s="111"/>
      <c r="F78" s="83" t="s">
        <v>519</v>
      </c>
      <c r="G78" s="84" t="s">
        <v>520</v>
      </c>
      <c r="H78" s="84"/>
      <c r="I78" s="84"/>
      <c r="J78" s="85"/>
      <c r="K78" s="84"/>
      <c r="L78" s="111"/>
      <c r="M78" s="111"/>
      <c r="N78" s="111"/>
      <c r="O78" s="111"/>
      <c r="P78" s="111"/>
      <c r="Q78" s="111"/>
      <c r="R78" s="111"/>
      <c r="S78" s="111"/>
      <c r="T78" s="111"/>
    </row>
    <row r="79" spans="2:20" x14ac:dyDescent="0.35">
      <c r="B79" s="111"/>
      <c r="C79" s="111"/>
      <c r="D79" s="111"/>
      <c r="E79" s="111"/>
      <c r="F79" s="83" t="s">
        <v>521</v>
      </c>
      <c r="G79" s="84" t="s">
        <v>522</v>
      </c>
      <c r="H79" s="84"/>
      <c r="I79" s="84"/>
      <c r="J79" s="85"/>
      <c r="K79" s="84"/>
      <c r="L79" s="111"/>
      <c r="M79" s="111"/>
      <c r="N79" s="111"/>
      <c r="O79" s="111"/>
      <c r="P79" s="111"/>
      <c r="Q79" s="111"/>
      <c r="R79" s="111"/>
      <c r="S79" s="111"/>
      <c r="T79" s="111"/>
    </row>
    <row r="80" spans="2:20" x14ac:dyDescent="0.35">
      <c r="B80" s="111"/>
      <c r="C80" s="111"/>
      <c r="D80" s="111"/>
      <c r="E80" s="111"/>
      <c r="F80" s="83"/>
      <c r="G80" s="86" t="s">
        <v>333</v>
      </c>
      <c r="H80" s="86" t="s">
        <v>472</v>
      </c>
      <c r="I80" s="86" t="s">
        <v>473</v>
      </c>
      <c r="J80" s="87" t="s">
        <v>474</v>
      </c>
      <c r="K80" s="86" t="s">
        <v>451</v>
      </c>
      <c r="L80" s="111"/>
      <c r="M80" s="111"/>
      <c r="N80" s="111"/>
      <c r="O80" s="111"/>
      <c r="P80" s="111"/>
      <c r="Q80" s="111"/>
      <c r="R80" s="111"/>
      <c r="S80" s="111"/>
      <c r="T80" s="111"/>
    </row>
    <row r="81" spans="6:14" x14ac:dyDescent="0.35">
      <c r="F81" s="83"/>
      <c r="G81" s="88"/>
      <c r="H81" s="88"/>
      <c r="I81" s="88"/>
      <c r="J81" s="89"/>
      <c r="K81" s="90" t="s">
        <v>185</v>
      </c>
      <c r="L81" s="111"/>
      <c r="M81" s="111"/>
      <c r="N81" s="111"/>
    </row>
    <row r="82" spans="6:14" x14ac:dyDescent="0.35">
      <c r="F82" s="83"/>
      <c r="G82" s="84" t="s">
        <v>435</v>
      </c>
      <c r="H82" s="84" t="s">
        <v>523</v>
      </c>
      <c r="I82" s="84" t="s">
        <v>524</v>
      </c>
      <c r="J82" s="85"/>
      <c r="K82" s="84" t="s">
        <v>185</v>
      </c>
      <c r="L82" s="111"/>
      <c r="M82" s="111"/>
      <c r="N82" s="111"/>
    </row>
    <row r="83" spans="6:14" ht="15.6" thickBot="1" x14ac:dyDescent="0.4">
      <c r="F83" s="83"/>
      <c r="G83" s="91" t="s">
        <v>525</v>
      </c>
      <c r="H83" s="91"/>
      <c r="I83" s="91"/>
      <c r="J83" s="92">
        <f>SUM(J81:J82)</f>
        <v>0</v>
      </c>
      <c r="K83" s="91" t="s">
        <v>185</v>
      </c>
      <c r="L83" s="111"/>
      <c r="M83" s="111"/>
      <c r="N83" s="111"/>
    </row>
    <row r="84" spans="6:14" ht="15.6" thickTop="1" x14ac:dyDescent="0.35">
      <c r="F84" s="83" t="s">
        <v>526</v>
      </c>
      <c r="G84" s="84" t="s">
        <v>527</v>
      </c>
      <c r="H84" s="84"/>
      <c r="I84" s="84"/>
      <c r="J84" s="85"/>
      <c r="K84" s="84"/>
      <c r="L84" s="111"/>
      <c r="M84" s="111"/>
      <c r="N84" s="111"/>
    </row>
    <row r="85" spans="6:14" x14ac:dyDescent="0.35">
      <c r="F85" s="83" t="s">
        <v>528</v>
      </c>
      <c r="G85" s="84" t="s">
        <v>527</v>
      </c>
      <c r="H85" s="84"/>
      <c r="I85" s="84"/>
      <c r="J85" s="85"/>
      <c r="K85" s="84"/>
      <c r="L85" s="111"/>
      <c r="M85" s="111"/>
      <c r="N85" s="111"/>
    </row>
    <row r="86" spans="6:14" x14ac:dyDescent="0.35">
      <c r="F86" s="83" t="s">
        <v>529</v>
      </c>
      <c r="G86" s="84" t="s">
        <v>527</v>
      </c>
      <c r="H86" s="84"/>
      <c r="I86" s="84"/>
      <c r="J86" s="85"/>
      <c r="K86" s="84"/>
      <c r="L86" s="111"/>
      <c r="M86" s="111"/>
      <c r="N86" s="111"/>
    </row>
    <row r="87" spans="6:14" x14ac:dyDescent="0.35">
      <c r="F87" s="83"/>
      <c r="G87" s="84"/>
      <c r="H87" s="84"/>
      <c r="I87" s="84"/>
      <c r="J87" s="85"/>
      <c r="K87" s="84"/>
      <c r="L87" s="111"/>
      <c r="M87" s="111"/>
      <c r="N87" s="111"/>
    </row>
    <row r="88" spans="6:14" x14ac:dyDescent="0.35">
      <c r="F88" s="83"/>
      <c r="G88" s="84"/>
      <c r="H88" s="84"/>
      <c r="I88" s="84"/>
      <c r="J88" s="85"/>
      <c r="K88" s="84"/>
      <c r="L88" s="111"/>
      <c r="M88" s="111"/>
      <c r="N88" s="111"/>
    </row>
    <row r="89" spans="6:14" ht="18.75" customHeight="1" x14ac:dyDescent="0.35">
      <c r="F89" s="83"/>
      <c r="G89" s="84"/>
      <c r="H89" s="84"/>
      <c r="I89" s="84"/>
      <c r="J89" s="85"/>
      <c r="K89" s="84"/>
      <c r="L89" s="111"/>
      <c r="M89" s="111"/>
      <c r="N89" s="111"/>
    </row>
    <row r="90" spans="6:14" ht="15.75" customHeight="1" x14ac:dyDescent="0.35">
      <c r="F90" s="83"/>
      <c r="G90" s="84"/>
      <c r="H90" s="84"/>
      <c r="I90" s="84"/>
      <c r="J90" s="85"/>
      <c r="K90" s="84"/>
      <c r="L90" s="111"/>
      <c r="M90" s="111"/>
      <c r="N90" s="111"/>
    </row>
    <row r="91" spans="6:14" x14ac:dyDescent="0.35">
      <c r="F91" s="83"/>
      <c r="G91" s="84"/>
      <c r="H91" s="84"/>
      <c r="I91" s="84"/>
      <c r="J91" s="85"/>
      <c r="K91" s="84"/>
      <c r="L91" s="111"/>
      <c r="M91" s="111"/>
      <c r="N91" s="111"/>
    </row>
    <row r="92" spans="6:14" x14ac:dyDescent="0.35">
      <c r="F92" s="83"/>
      <c r="G92" s="84"/>
      <c r="H92" s="84"/>
      <c r="I92" s="84"/>
      <c r="J92" s="85"/>
      <c r="K92" s="84"/>
      <c r="L92" s="111"/>
      <c r="M92" s="111"/>
      <c r="N92" s="111"/>
    </row>
    <row r="93" spans="6:14" x14ac:dyDescent="0.35">
      <c r="F93" s="16"/>
      <c r="G93" s="16"/>
      <c r="H93" s="16"/>
      <c r="I93" s="16"/>
      <c r="J93" s="16"/>
      <c r="K93" s="16"/>
      <c r="L93" s="111"/>
      <c r="M93" s="111"/>
      <c r="N93" s="111"/>
    </row>
    <row r="94" spans="6:14" ht="15.75" customHeight="1" thickBot="1" x14ac:dyDescent="0.4">
      <c r="F94" s="326"/>
      <c r="G94" s="326"/>
      <c r="H94" s="326"/>
      <c r="I94" s="326"/>
      <c r="J94" s="326"/>
      <c r="K94" s="326"/>
      <c r="L94" s="326"/>
      <c r="M94" s="326"/>
      <c r="N94" s="326"/>
    </row>
    <row r="95" spans="6:14" x14ac:dyDescent="0.35">
      <c r="F95" s="327"/>
      <c r="G95" s="327"/>
      <c r="H95" s="327"/>
      <c r="I95" s="327"/>
      <c r="J95" s="327"/>
      <c r="K95" s="327"/>
      <c r="L95" s="327"/>
      <c r="M95" s="327"/>
      <c r="N95" s="327"/>
    </row>
    <row r="96" spans="6:14" ht="15.6" thickBot="1" x14ac:dyDescent="0.4">
      <c r="F96" s="297" t="s">
        <v>33</v>
      </c>
      <c r="G96" s="298"/>
      <c r="H96" s="298"/>
      <c r="I96" s="298"/>
      <c r="J96" s="298"/>
      <c r="K96" s="298"/>
      <c r="L96" s="298"/>
      <c r="M96" s="298"/>
      <c r="N96" s="298"/>
    </row>
    <row r="97" spans="6:14" x14ac:dyDescent="0.35">
      <c r="F97" s="299" t="s">
        <v>34</v>
      </c>
      <c r="G97" s="300"/>
      <c r="H97" s="300"/>
      <c r="I97" s="300"/>
      <c r="J97" s="300"/>
      <c r="K97" s="300"/>
      <c r="L97" s="300"/>
      <c r="M97" s="300"/>
      <c r="N97" s="300"/>
    </row>
    <row r="98" spans="6:14" ht="15.6" thickBot="1" x14ac:dyDescent="0.4">
      <c r="F98" s="314"/>
      <c r="G98" s="314"/>
      <c r="H98" s="314"/>
      <c r="I98" s="314"/>
      <c r="J98" s="314"/>
      <c r="K98" s="314"/>
      <c r="L98" s="314"/>
      <c r="M98" s="314"/>
      <c r="N98" s="314"/>
    </row>
    <row r="99" spans="6:14" x14ac:dyDescent="0.35">
      <c r="F99" s="301" t="s">
        <v>35</v>
      </c>
      <c r="G99" s="301"/>
      <c r="H99" s="301"/>
      <c r="I99" s="301"/>
      <c r="J99" s="301"/>
      <c r="K99" s="301"/>
      <c r="L99" s="301"/>
      <c r="M99" s="301"/>
      <c r="N99" s="301"/>
    </row>
    <row r="100" spans="6:14" ht="15.75" customHeight="1" x14ac:dyDescent="0.35">
      <c r="F100" s="274" t="s">
        <v>36</v>
      </c>
      <c r="G100" s="274"/>
      <c r="H100" s="274"/>
      <c r="I100" s="274"/>
      <c r="J100" s="274"/>
      <c r="K100" s="274"/>
      <c r="L100" s="274"/>
      <c r="M100" s="274"/>
      <c r="N100" s="274"/>
    </row>
    <row r="101" spans="6:14" x14ac:dyDescent="0.35">
      <c r="F101" s="301" t="s">
        <v>38</v>
      </c>
      <c r="G101" s="301"/>
      <c r="H101" s="301"/>
      <c r="I101" s="301"/>
      <c r="J101" s="301"/>
      <c r="K101" s="301"/>
      <c r="L101" s="301"/>
      <c r="M101" s="301"/>
      <c r="N101" s="301"/>
    </row>
  </sheetData>
  <sheetProtection insertRows="0"/>
  <protectedRanges>
    <protectedRange algorithmName="SHA-512" hashValue="19r0bVvPR7yZA0UiYij7Tv1CBk3noIABvFePbLhCJ4nk3L6A+Fy+RdPPS3STf+a52x4pG2PQK4FAkXK9epnlIA==" saltValue="gQC4yrLvnbJqxYZ0KSEoZA==" spinCount="100000" sqref="K81 K68 F55:G66 F22:G22 F28:F29 K23:K54 F23:F24 F31:F51 G23:G51 J22:K22 J23:J51 I55:K66" name="Government revenues"/>
    <protectedRange algorithmName="SHA-512" hashValue="19r0bVvPR7yZA0UiYij7Tv1CBk3noIABvFePbLhCJ4nk3L6A+Fy+RdPPS3STf+a52x4pG2PQK4FAkXK9epnlIA==" saltValue="gQC4yrLvnbJqxYZ0KSEoZA==" spinCount="100000" sqref="F25:F27" name="Government revenues_1"/>
    <protectedRange algorithmName="SHA-512" hashValue="19r0bVvPR7yZA0UiYij7Tv1CBk3noIABvFePbLhCJ4nk3L6A+Fy+RdPPS3STf+a52x4pG2PQK4FAkXK9epnlIA==" saltValue="gQC4yrLvnbJqxYZ0KSEoZA==" spinCount="100000" sqref="F30" name="Government revenues_2"/>
    <protectedRange algorithmName="SHA-512" hashValue="19r0bVvPR7yZA0UiYij7Tv1CBk3noIABvFePbLhCJ4nk3L6A+Fy+RdPPS3STf+a52x4pG2PQK4FAkXK9epnlIA==" saltValue="gQC4yrLvnbJqxYZ0KSEoZA==" spinCount="100000" sqref="I22:I51" name="Government revenues_3"/>
    <protectedRange algorithmName="SHA-512" hashValue="19r0bVvPR7yZA0UiYij7Tv1CBk3noIABvFePbLhCJ4nk3L6A+Fy+RdPPS3STf+a52x4pG2PQK4FAkXK9epnlIA==" saltValue="gQC4yrLvnbJqxYZ0KSEoZA==" spinCount="100000" sqref="J52:J54 F52:G54" name="Government revenues_4"/>
    <protectedRange algorithmName="SHA-512" hashValue="19r0bVvPR7yZA0UiYij7Tv1CBk3noIABvFePbLhCJ4nk3L6A+Fy+RdPPS3STf+a52x4pG2PQK4FAkXK9epnlIA==" saltValue="gQC4yrLvnbJqxYZ0KSEoZA==" spinCount="100000" sqref="I52:I54" name="Government revenues_3_1"/>
  </protectedRanges>
  <mergeCells count="23">
    <mergeCell ref="F101:N101"/>
    <mergeCell ref="F18:K18"/>
    <mergeCell ref="F8:N8"/>
    <mergeCell ref="F9:N9"/>
    <mergeCell ref="F10:N10"/>
    <mergeCell ref="F11:N11"/>
    <mergeCell ref="F12:N12"/>
    <mergeCell ref="F13:N13"/>
    <mergeCell ref="F14:N14"/>
    <mergeCell ref="F15:N15"/>
    <mergeCell ref="M18:N18"/>
    <mergeCell ref="F94:N94"/>
    <mergeCell ref="F95:N95"/>
    <mergeCell ref="F96:N96"/>
    <mergeCell ref="F100:N100"/>
    <mergeCell ref="F97:N97"/>
    <mergeCell ref="F98:N98"/>
    <mergeCell ref="F99:N99"/>
    <mergeCell ref="F20:K20"/>
    <mergeCell ref="F16:N16"/>
    <mergeCell ref="M19:N19"/>
    <mergeCell ref="M21:N21"/>
    <mergeCell ref="M22:N51"/>
  </mergeCells>
  <dataValidations count="11">
    <dataValidation type="list" allowBlank="1" showInputMessage="1" showErrorMessage="1" sqref="K81:K83" xr:uid="{D192E264-08C1-4ABF-8184-48A13724DD23}">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 H24:H66" xr:uid="{D5542179-2FB1-4F51-A9A0-8B4969D42E2C}"/>
    <dataValidation type="textLength" allowBlank="1" showInputMessage="1" showErrorMessage="1" errorTitle="Please do not edit these cells" error="Please do not edit these cells" sqref="F74:K75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93:K93" xr:uid="{B41B3659-95C0-4782-8249-C45F1BA8CF71}">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I26 I50:I53 I33 I28:I30" xr:uid="{D23ED75C-37A5-4819-9A2A-EE0485FE334D}">
      <formula1>Government_entities_list</formula1>
    </dataValidation>
    <dataValidation type="textLength" allowBlank="1" showInputMessage="1" showErrorMessage="1" sqref="L74:N93 B7:K20 F94:N98 B94:E101 B67:H73 K67:N73 I67:J67 J69 I71:J73 L7:N66 O7:O93 A7:A101" xr:uid="{C34C43B0-4B88-4697-A1F8-6046FF94A4E3}">
      <formula1>9999999</formula1>
      <formula2>99999999</formula2>
    </dataValidation>
    <dataValidation type="textLength" allowBlank="1" showInputMessage="1" showErrorMessage="1" errorTitle="Do not edit these cells" error="Please do not edit these cells" sqref="F99:N101" xr:uid="{F2954D87-D339-415D-9481-D75E0A4DEE87}">
      <formula1>9999999</formula1>
      <formula2>99999999</formula2>
    </dataValidation>
    <dataValidation type="whole" allowBlank="1" showInputMessage="1" showErrorMessage="1" sqref="I68:J68" xr:uid="{89211BE3-9C99-4B00-84AC-51B5A538A063}">
      <formula1>1</formula1>
      <formula2>2</formula2>
    </dataValidation>
    <dataValidation type="list" allowBlank="1" showInputMessage="1" showErrorMessage="1" sqref="F22:F66" xr:uid="{00000000-0002-0000-0300-000003000000}">
      <formula1>GFS_list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66" xr:uid="{E188CC06-04C5-4523-9D0F-33E094E7A8EB}">
      <formula1>0.1</formula1>
      <formula2>0.2</formula2>
    </dataValidation>
  </dataValidations>
  <hyperlinks>
    <hyperlink ref="M19" r:id="rId1" location="r5-1" display="EITI Requirement 5.1" xr:uid="{D1298250-E9A8-4B35-9832-EB42334EC5CC}"/>
    <hyperlink ref="F20" r:id="rId2" location="r4-1" display="EITI Requirement 4.1" xr:uid="{EB616848-9320-443F-A042-28F04868856E}"/>
    <hyperlink ref="F97:J97" r:id="rId3" display="Give us your feedback or report a conflict in the data! Write to us at  data@eiti.org" xr:uid="{75CFFD54-1803-40DD-84A4-A9C2A50A545A}"/>
    <hyperlink ref="F96:J96" r:id="rId4" display="For the latest version of Summary data templates, see  https://eiti.org/summary-data-template" xr:uid="{ECA922EE-70EB-44CD-BCF7-6E5E128D70CD}"/>
  </hyperlinks>
  <pageMargins left="0.7" right="0.7" top="0.75" bottom="0.75" header="0.3" footer="0.3"/>
  <pageSetup paperSize="9" orientation="portrait" r:id="rId5"/>
  <colBreaks count="1" manualBreakCount="1">
    <brk id="12" max="1048575" man="1"/>
  </colBreaks>
  <drawing r:id="rId6"/>
  <tableParts count="1">
    <tablePart r:id="rId7"/>
  </tableParts>
  <extLst>
    <ext xmlns:x14="http://schemas.microsoft.com/office/spreadsheetml/2009/9/main" uri="{CCE6A557-97BC-4b89-ADB6-D9C93CAAB3DF}">
      <x14:dataValidations xmlns:xm="http://schemas.microsoft.com/office/excel/2006/main" count="4">
        <x14:dataValidation type="list" allowBlank="1" showInputMessage="1" showErrorMessage="1" promptTitle="Please select sector" prompt="Please select the relevant sector from the list" xr:uid="{6D0425A3-0C8C-45E2-869B-2175D77CA88E}">
          <x14:formula1>
            <xm:f>Lists!$AA$3:$AA$9</xm:f>
          </x14:formula1>
          <xm:sqref>G22:G51 G55:G66</xm:sqref>
        </x14:dataValidation>
        <x14:dataValidation type="list" allowBlank="1" showInputMessage="1" showErrorMessage="1" xr:uid="{84FF5E48-7B81-4123-B271-67A5E717896F}">
          <x14:formula1>
            <xm:f>Lists!$I$11:$I$168</xm:f>
          </x14:formula1>
          <xm:sqref>K22:K66</xm:sqref>
        </x14:dataValidation>
        <x14:dataValidation type="list" allowBlank="1" showInputMessage="1" showErrorMessage="1" xr:uid="{00000000-0002-0000-0300-000000000000}">
          <x14:formula1>
            <xm:f>Lists!$S$2:$S$29</xm:f>
          </x14:formula1>
          <xm:sqref>B22:E66</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entities'!$B$15:$B$17</xm:f>
          </x14:formula1>
          <xm:sqref>I55:I66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N309"/>
  <sheetViews>
    <sheetView showGridLines="0" tabSelected="1" topLeftCell="A14" zoomScale="80" zoomScaleNormal="80" workbookViewId="0">
      <selection activeCell="E286" sqref="E286"/>
    </sheetView>
  </sheetViews>
  <sheetFormatPr defaultColWidth="9.21875" defaultRowHeight="15" x14ac:dyDescent="0.35"/>
  <cols>
    <col min="1" max="1" width="3.77734375" style="7" customWidth="1"/>
    <col min="2" max="2" width="0.21875" style="7" customWidth="1"/>
    <col min="3" max="3" width="51.77734375" style="7" customWidth="1"/>
    <col min="4" max="4" width="42.77734375" style="7" customWidth="1"/>
    <col min="5" max="5" width="30.44140625" style="7" bestFit="1" customWidth="1"/>
    <col min="6" max="6" width="31.44140625" style="7" bestFit="1" customWidth="1"/>
    <col min="7" max="7" width="34.21875" style="7" bestFit="1" customWidth="1"/>
    <col min="8" max="8" width="22.77734375" style="7" bestFit="1" customWidth="1"/>
    <col min="9" max="9" width="27.21875" style="7" bestFit="1" customWidth="1"/>
    <col min="10" max="10" width="22.44140625" style="7" customWidth="1"/>
    <col min="11" max="11" width="37.21875" style="7" bestFit="1" customWidth="1"/>
    <col min="12" max="12" width="38.44140625" style="7" hidden="1" customWidth="1"/>
    <col min="13" max="13" width="26" style="7" hidden="1" customWidth="1"/>
    <col min="14" max="14" width="16.77734375" style="7" bestFit="1" customWidth="1"/>
    <col min="15" max="15" width="4" style="7" customWidth="1"/>
    <col min="16" max="16" width="9.21875" style="7"/>
    <col min="17" max="33" width="15.77734375" style="7" customWidth="1"/>
    <col min="34" max="16384" width="9.21875" style="7"/>
  </cols>
  <sheetData>
    <row r="2" spans="2:14" s="26" customFormat="1" x14ac:dyDescent="0.35">
      <c r="B2" s="111"/>
      <c r="C2" s="312" t="s">
        <v>530</v>
      </c>
      <c r="D2" s="312"/>
      <c r="E2" s="312"/>
      <c r="F2" s="312"/>
      <c r="G2" s="312"/>
      <c r="H2" s="312"/>
      <c r="I2" s="312"/>
      <c r="J2" s="312"/>
      <c r="K2" s="312"/>
      <c r="L2" s="312"/>
      <c r="M2" s="312"/>
      <c r="N2" s="312"/>
    </row>
    <row r="3" spans="2:14" ht="21" customHeight="1" x14ac:dyDescent="0.35">
      <c r="C3" s="332" t="s">
        <v>531</v>
      </c>
      <c r="D3" s="332"/>
      <c r="E3" s="332"/>
      <c r="F3" s="332"/>
      <c r="G3" s="332"/>
      <c r="H3" s="332"/>
      <c r="I3" s="332"/>
      <c r="J3" s="332"/>
      <c r="K3" s="332"/>
      <c r="L3" s="332"/>
      <c r="M3" s="332"/>
      <c r="N3" s="332"/>
    </row>
    <row r="4" spans="2:14" s="26" customFormat="1" ht="15.6" customHeight="1" x14ac:dyDescent="0.35">
      <c r="B4" s="111"/>
      <c r="C4" s="328" t="s">
        <v>532</v>
      </c>
      <c r="D4" s="328"/>
      <c r="E4" s="328"/>
      <c r="F4" s="328"/>
      <c r="G4" s="328"/>
      <c r="H4" s="328"/>
      <c r="I4" s="328"/>
      <c r="J4" s="328"/>
      <c r="K4" s="328"/>
      <c r="L4" s="328"/>
      <c r="M4" s="328"/>
      <c r="N4" s="328"/>
    </row>
    <row r="5" spans="2:14" s="26" customFormat="1" ht="15.6" customHeight="1" x14ac:dyDescent="0.35">
      <c r="B5" s="111"/>
      <c r="C5" s="328" t="s">
        <v>533</v>
      </c>
      <c r="D5" s="328"/>
      <c r="E5" s="328"/>
      <c r="F5" s="328"/>
      <c r="G5" s="328"/>
      <c r="H5" s="328"/>
      <c r="I5" s="328"/>
      <c r="J5" s="328"/>
      <c r="K5" s="328"/>
      <c r="L5" s="328"/>
      <c r="M5" s="328"/>
      <c r="N5" s="328"/>
    </row>
    <row r="6" spans="2:14" s="26" customFormat="1" ht="15.6" customHeight="1" x14ac:dyDescent="0.35">
      <c r="B6" s="111"/>
      <c r="C6" s="328" t="s">
        <v>534</v>
      </c>
      <c r="D6" s="328"/>
      <c r="E6" s="328"/>
      <c r="F6" s="328"/>
      <c r="G6" s="328"/>
      <c r="H6" s="328"/>
      <c r="I6" s="328"/>
      <c r="J6" s="328"/>
      <c r="K6" s="328"/>
      <c r="L6" s="328"/>
      <c r="M6" s="328"/>
      <c r="N6" s="328"/>
    </row>
    <row r="7" spans="2:14" s="26" customFormat="1" ht="15.6" customHeight="1" x14ac:dyDescent="0.35">
      <c r="B7" s="111"/>
      <c r="C7" s="328" t="s">
        <v>535</v>
      </c>
      <c r="D7" s="328"/>
      <c r="E7" s="328"/>
      <c r="F7" s="328"/>
      <c r="G7" s="328"/>
      <c r="H7" s="328"/>
      <c r="I7" s="328"/>
      <c r="J7" s="328"/>
      <c r="K7" s="328"/>
      <c r="L7" s="328"/>
      <c r="M7" s="328"/>
      <c r="N7" s="328"/>
    </row>
    <row r="8" spans="2:14" s="26" customFormat="1" ht="15.6" customHeight="1" x14ac:dyDescent="0.35">
      <c r="B8" s="111"/>
      <c r="C8" s="328" t="s">
        <v>536</v>
      </c>
      <c r="D8" s="328"/>
      <c r="E8" s="328"/>
      <c r="F8" s="328"/>
      <c r="G8" s="328"/>
      <c r="H8" s="328"/>
      <c r="I8" s="328"/>
      <c r="J8" s="328"/>
      <c r="K8" s="328"/>
      <c r="L8" s="328"/>
      <c r="M8" s="328"/>
      <c r="N8" s="328"/>
    </row>
    <row r="9" spans="2:14" s="26" customFormat="1" x14ac:dyDescent="0.35">
      <c r="B9" s="111"/>
      <c r="C9" s="296" t="s">
        <v>314</v>
      </c>
      <c r="D9" s="296"/>
      <c r="E9" s="296"/>
      <c r="F9" s="296"/>
      <c r="G9" s="296"/>
      <c r="H9" s="296"/>
      <c r="I9" s="296"/>
      <c r="J9" s="296"/>
      <c r="K9" s="296"/>
      <c r="L9" s="296"/>
      <c r="M9" s="296"/>
      <c r="N9" s="296"/>
    </row>
    <row r="10" spans="2:14" x14ac:dyDescent="0.35">
      <c r="C10" s="330"/>
      <c r="D10" s="330"/>
      <c r="E10" s="330"/>
      <c r="F10" s="330"/>
      <c r="G10" s="330"/>
      <c r="H10" s="330"/>
      <c r="I10" s="330"/>
      <c r="J10" s="330"/>
      <c r="K10" s="330"/>
      <c r="L10" s="330"/>
      <c r="M10" s="330"/>
      <c r="N10" s="330"/>
    </row>
    <row r="11" spans="2:14" ht="24" x14ac:dyDescent="0.35">
      <c r="C11" s="304" t="s">
        <v>537</v>
      </c>
      <c r="D11" s="304"/>
      <c r="E11" s="304"/>
      <c r="F11" s="304"/>
      <c r="G11" s="304"/>
      <c r="H11" s="304"/>
      <c r="I11" s="304"/>
      <c r="J11" s="304"/>
      <c r="K11" s="304"/>
      <c r="L11" s="304"/>
      <c r="M11" s="304"/>
      <c r="N11" s="304"/>
    </row>
    <row r="12" spans="2:14" s="26" customFormat="1" ht="14.25" customHeight="1" x14ac:dyDescent="0.35">
      <c r="B12" s="111"/>
      <c r="C12" s="111"/>
      <c r="D12" s="111"/>
      <c r="E12" s="111"/>
      <c r="F12" s="111"/>
      <c r="G12" s="111"/>
      <c r="H12" s="111"/>
      <c r="I12" s="111"/>
      <c r="J12" s="111"/>
      <c r="K12" s="111"/>
      <c r="L12" s="111"/>
      <c r="M12" s="111"/>
      <c r="N12" s="111"/>
    </row>
    <row r="13" spans="2:14" s="26" customFormat="1" ht="15.75" customHeight="1" x14ac:dyDescent="0.35">
      <c r="B13" s="315" t="s">
        <v>538</v>
      </c>
      <c r="C13" s="315"/>
      <c r="D13" s="315"/>
      <c r="E13" s="315"/>
      <c r="F13" s="315"/>
      <c r="G13" s="315"/>
      <c r="H13" s="315"/>
      <c r="I13" s="315"/>
      <c r="J13" s="315"/>
      <c r="K13" s="315"/>
      <c r="L13" s="315"/>
      <c r="M13" s="315"/>
      <c r="N13" s="315"/>
    </row>
    <row r="14" spans="2:14" s="26" customFormat="1" x14ac:dyDescent="0.35">
      <c r="B14" s="111" t="s">
        <v>333</v>
      </c>
      <c r="C14" s="111" t="s">
        <v>539</v>
      </c>
      <c r="D14" s="111" t="s">
        <v>473</v>
      </c>
      <c r="E14" s="111" t="s">
        <v>472</v>
      </c>
      <c r="F14" s="111" t="s">
        <v>540</v>
      </c>
      <c r="G14" s="111" t="s">
        <v>541</v>
      </c>
      <c r="H14" s="111" t="s">
        <v>542</v>
      </c>
      <c r="I14" s="111" t="s">
        <v>543</v>
      </c>
      <c r="J14" s="111" t="s">
        <v>474</v>
      </c>
      <c r="K14" s="111" t="s">
        <v>544</v>
      </c>
      <c r="L14" s="111" t="s">
        <v>545</v>
      </c>
      <c r="M14" s="111" t="s">
        <v>546</v>
      </c>
      <c r="N14" s="111" t="s">
        <v>547</v>
      </c>
    </row>
    <row r="15" spans="2:14" s="26" customFormat="1" ht="16.8" hidden="1" x14ac:dyDescent="0.35">
      <c r="B15" s="111" t="str">
        <f>VLOOKUP(C15,Companies[],3,FALSE)</f>
        <v>000117683-6</v>
      </c>
      <c r="C15" s="113" t="s">
        <v>382</v>
      </c>
      <c r="D15" s="111" t="s">
        <v>322</v>
      </c>
      <c r="E15" s="111" t="s">
        <v>508</v>
      </c>
      <c r="F15" s="111" t="s">
        <v>61</v>
      </c>
      <c r="G15" s="111" t="s">
        <v>61</v>
      </c>
      <c r="H15" s="113" t="s">
        <v>382</v>
      </c>
      <c r="I15" s="111" t="s">
        <v>185</v>
      </c>
      <c r="J15" s="118">
        <f>34621829/[1]Sheet1!$T$370</f>
        <v>5128159.9525636127</v>
      </c>
      <c r="K15" s="111"/>
      <c r="L15" s="111"/>
      <c r="M15" s="111" t="s">
        <v>548</v>
      </c>
      <c r="N15" s="269"/>
    </row>
    <row r="16" spans="2:14" s="26" customFormat="1" hidden="1" x14ac:dyDescent="0.35">
      <c r="B16" s="111" t="str">
        <f>VLOOKUP(C16,Companies[],3,FALSE)</f>
        <v>000117683-6</v>
      </c>
      <c r="C16" s="113" t="s">
        <v>382</v>
      </c>
      <c r="D16" s="111" t="s">
        <v>322</v>
      </c>
      <c r="E16" s="111" t="s">
        <v>498</v>
      </c>
      <c r="F16" s="111" t="s">
        <v>61</v>
      </c>
      <c r="G16" s="111" t="s">
        <v>61</v>
      </c>
      <c r="H16" s="113" t="s">
        <v>382</v>
      </c>
      <c r="I16" s="111" t="s">
        <v>185</v>
      </c>
      <c r="J16" s="118">
        <f>340460460/[1]Sheet1!$T$370</f>
        <v>50428753.963384949</v>
      </c>
      <c r="K16" s="111"/>
      <c r="L16" s="111"/>
      <c r="M16" s="111"/>
      <c r="N16" s="111"/>
    </row>
    <row r="17" spans="2:14" s="26" customFormat="1" hidden="1" x14ac:dyDescent="0.35">
      <c r="B17" s="111" t="str">
        <f>VLOOKUP(C17,Companies[],3,FALSE)</f>
        <v>000117683-6</v>
      </c>
      <c r="C17" s="113" t="s">
        <v>382</v>
      </c>
      <c r="D17" s="111" t="s">
        <v>322</v>
      </c>
      <c r="E17" s="111" t="s">
        <v>512</v>
      </c>
      <c r="F17" s="111" t="s">
        <v>61</v>
      </c>
      <c r="G17" s="111" t="s">
        <v>61</v>
      </c>
      <c r="H17" s="113" t="s">
        <v>382</v>
      </c>
      <c r="I17" s="111" t="s">
        <v>185</v>
      </c>
      <c r="J17" s="118">
        <f>34046045/[1]Sheet1!$T$370</f>
        <v>5042875.2482192274</v>
      </c>
      <c r="K17" s="111"/>
      <c r="L17" s="111"/>
      <c r="M17" s="111"/>
      <c r="N17" s="111"/>
    </row>
    <row r="18" spans="2:14" s="26" customFormat="1" hidden="1" x14ac:dyDescent="0.35">
      <c r="B18" s="111" t="str">
        <f>VLOOKUP(C18,Companies[],3,FALSE)</f>
        <v>000117683-6</v>
      </c>
      <c r="C18" s="113" t="s">
        <v>382</v>
      </c>
      <c r="D18" s="111" t="s">
        <v>322</v>
      </c>
      <c r="E18" s="111" t="s">
        <v>485</v>
      </c>
      <c r="F18" s="111" t="s">
        <v>61</v>
      </c>
      <c r="G18" s="111" t="s">
        <v>61</v>
      </c>
      <c r="H18" s="113" t="s">
        <v>382</v>
      </c>
      <c r="I18" s="111" t="s">
        <v>185</v>
      </c>
      <c r="J18" s="118">
        <f>4346256/[1]Sheet1!$T$370</f>
        <v>643764.25528499135</v>
      </c>
      <c r="K18" s="111"/>
      <c r="L18" s="111"/>
      <c r="M18" s="111"/>
      <c r="N18" s="111"/>
    </row>
    <row r="19" spans="2:14" s="26" customFormat="1" hidden="1" x14ac:dyDescent="0.35">
      <c r="B19" s="111" t="str">
        <f>VLOOKUP(C19,Companies[],3,FALSE)</f>
        <v>000117683-6</v>
      </c>
      <c r="C19" s="113" t="s">
        <v>382</v>
      </c>
      <c r="D19" s="111" t="s">
        <v>322</v>
      </c>
      <c r="E19" s="111" t="s">
        <v>488</v>
      </c>
      <c r="F19" s="111" t="s">
        <v>61</v>
      </c>
      <c r="G19" s="111" t="s">
        <v>61</v>
      </c>
      <c r="H19" s="113" t="s">
        <v>382</v>
      </c>
      <c r="I19" s="111" t="s">
        <v>185</v>
      </c>
      <c r="J19" s="118">
        <f>3381580/[1]Sheet1!$T$370</f>
        <v>500877.15274632262</v>
      </c>
      <c r="K19" s="111"/>
      <c r="L19" s="111"/>
      <c r="M19" s="111"/>
      <c r="N19" s="111"/>
    </row>
    <row r="20" spans="2:14" s="26" customFormat="1" hidden="1" x14ac:dyDescent="0.35">
      <c r="B20" s="111" t="str">
        <f>VLOOKUP(C20,Companies[],3,FALSE)</f>
        <v>000117683-6</v>
      </c>
      <c r="C20" s="113" t="s">
        <v>382</v>
      </c>
      <c r="D20" s="111" t="s">
        <v>322</v>
      </c>
      <c r="E20" s="111" t="s">
        <v>514</v>
      </c>
      <c r="F20" s="111" t="s">
        <v>61</v>
      </c>
      <c r="G20" s="111" t="s">
        <v>61</v>
      </c>
      <c r="H20" s="113" t="s">
        <v>382</v>
      </c>
      <c r="I20" s="111" t="s">
        <v>185</v>
      </c>
      <c r="J20" s="118">
        <f>24976012.04/[1]Sheet1!$T$370</f>
        <v>3699428.6095709912</v>
      </c>
      <c r="K20" s="111"/>
      <c r="L20" s="111"/>
      <c r="M20" s="111"/>
      <c r="N20" s="111"/>
    </row>
    <row r="21" spans="2:14" s="26" customFormat="1" hidden="1" x14ac:dyDescent="0.35">
      <c r="B21" s="111" t="str">
        <f>VLOOKUP(C21,Companies[],3,FALSE)</f>
        <v>000117683-6</v>
      </c>
      <c r="C21" s="113" t="s">
        <v>382</v>
      </c>
      <c r="D21" s="111" t="s">
        <v>322</v>
      </c>
      <c r="E21" s="111" t="s">
        <v>492</v>
      </c>
      <c r="F21" s="111" t="s">
        <v>61</v>
      </c>
      <c r="G21" s="111" t="s">
        <v>61</v>
      </c>
      <c r="H21" s="113" t="s">
        <v>382</v>
      </c>
      <c r="I21" s="111" t="s">
        <v>185</v>
      </c>
      <c r="J21" s="118">
        <f>3267/[1]Sheet1!$T$370</f>
        <v>483.90564707096564</v>
      </c>
      <c r="K21" s="111"/>
      <c r="L21" s="111"/>
      <c r="M21" s="111"/>
      <c r="N21" s="111"/>
    </row>
    <row r="22" spans="2:14" s="26" customFormat="1" hidden="1" x14ac:dyDescent="0.35">
      <c r="B22" s="111" t="str">
        <f>VLOOKUP(C22,Companies[],3,FALSE)</f>
        <v>000117683-6</v>
      </c>
      <c r="C22" s="113" t="s">
        <v>382</v>
      </c>
      <c r="D22" s="111" t="s">
        <v>322</v>
      </c>
      <c r="E22" s="111" t="s">
        <v>495</v>
      </c>
      <c r="F22" s="111" t="s">
        <v>61</v>
      </c>
      <c r="G22" s="111" t="s">
        <v>61</v>
      </c>
      <c r="H22" s="113" t="s">
        <v>382</v>
      </c>
      <c r="I22" s="111" t="s">
        <v>185</v>
      </c>
      <c r="J22" s="118">
        <f>7078/[1]Sheet1!$T$370</f>
        <v>1048.3881756866529</v>
      </c>
      <c r="K22" s="111"/>
      <c r="L22" s="111"/>
      <c r="M22" s="111"/>
      <c r="N22" s="111"/>
    </row>
    <row r="23" spans="2:14" s="26" customFormat="1" hidden="1" x14ac:dyDescent="0.35">
      <c r="B23" s="111" t="str">
        <f>VLOOKUP(C23,Companies[],3,FALSE)</f>
        <v>000117683-6</v>
      </c>
      <c r="C23" s="113" t="s">
        <v>382</v>
      </c>
      <c r="D23" s="22" t="s">
        <v>324</v>
      </c>
      <c r="E23" s="111" t="s">
        <v>482</v>
      </c>
      <c r="F23" s="111" t="s">
        <v>61</v>
      </c>
      <c r="G23" s="111" t="s">
        <v>61</v>
      </c>
      <c r="H23" s="113" t="s">
        <v>382</v>
      </c>
      <c r="I23" s="111" t="s">
        <v>185</v>
      </c>
      <c r="J23" s="118">
        <f>12528325/[1]Sheet1!$T$370</f>
        <v>1855686.3225712751</v>
      </c>
      <c r="K23" s="111"/>
      <c r="L23" s="111"/>
      <c r="M23" s="111"/>
      <c r="N23" s="111"/>
    </row>
    <row r="24" spans="2:14" s="26" customFormat="1" hidden="1" x14ac:dyDescent="0.35">
      <c r="B24" s="111" t="str">
        <f>VLOOKUP(C24,Companies[],3,FALSE)</f>
        <v>000117683-6</v>
      </c>
      <c r="C24" s="113" t="s">
        <v>382</v>
      </c>
      <c r="D24" s="22" t="s">
        <v>324</v>
      </c>
      <c r="E24" s="111" t="s">
        <v>500</v>
      </c>
      <c r="F24" s="111" t="s">
        <v>61</v>
      </c>
      <c r="G24" s="111" t="s">
        <v>61</v>
      </c>
      <c r="H24" s="113" t="s">
        <v>382</v>
      </c>
      <c r="I24" s="111" t="s">
        <v>185</v>
      </c>
      <c r="J24" s="118">
        <f>227045867/[1]Sheet1!$T$370</f>
        <v>33629867.519260302</v>
      </c>
      <c r="K24" s="111"/>
      <c r="L24" s="111"/>
      <c r="M24" s="111"/>
      <c r="N24" s="111"/>
    </row>
    <row r="25" spans="2:14" s="26" customFormat="1" hidden="1" x14ac:dyDescent="0.35">
      <c r="B25" s="111" t="str">
        <f>VLOOKUP(C25,Companies[],3,FALSE)</f>
        <v>000117683-6</v>
      </c>
      <c r="C25" s="113" t="s">
        <v>382</v>
      </c>
      <c r="D25" s="22" t="s">
        <v>324</v>
      </c>
      <c r="E25" s="111" t="s">
        <v>480</v>
      </c>
      <c r="F25" s="111" t="s">
        <v>61</v>
      </c>
      <c r="G25" s="111" t="s">
        <v>61</v>
      </c>
      <c r="H25" s="113" t="s">
        <v>382</v>
      </c>
      <c r="I25" s="111" t="s">
        <v>185</v>
      </c>
      <c r="J25" s="118">
        <v>0</v>
      </c>
      <c r="K25" s="111"/>
      <c r="L25" s="111"/>
      <c r="M25" s="111"/>
      <c r="N25" s="111"/>
    </row>
    <row r="26" spans="2:14" s="26" customFormat="1" hidden="1" x14ac:dyDescent="0.35">
      <c r="B26" s="111" t="str">
        <f>VLOOKUP(C26,Companies[],3,FALSE)</f>
        <v>000117683-6</v>
      </c>
      <c r="C26" s="113" t="s">
        <v>382</v>
      </c>
      <c r="D26" s="22" t="s">
        <v>324</v>
      </c>
      <c r="E26" s="111" t="s">
        <v>510</v>
      </c>
      <c r="F26" s="111" t="s">
        <v>61</v>
      </c>
      <c r="G26" s="111" t="s">
        <v>61</v>
      </c>
      <c r="H26" s="113" t="s">
        <v>382</v>
      </c>
      <c r="I26" s="111" t="s">
        <v>185</v>
      </c>
      <c r="J26" s="118">
        <v>0</v>
      </c>
      <c r="K26" s="111"/>
      <c r="L26" s="111"/>
      <c r="M26" s="111"/>
      <c r="N26" s="111"/>
    </row>
    <row r="27" spans="2:14" s="26" customFormat="1" hidden="1" x14ac:dyDescent="0.35">
      <c r="B27" s="111" t="str">
        <f>VLOOKUP(C27,Companies[],3,FALSE)</f>
        <v>000117683-6</v>
      </c>
      <c r="C27" s="113" t="s">
        <v>382</v>
      </c>
      <c r="D27" s="22" t="s">
        <v>324</v>
      </c>
      <c r="E27" s="111" t="s">
        <v>504</v>
      </c>
      <c r="F27" s="111" t="s">
        <v>61</v>
      </c>
      <c r="G27" s="111" t="s">
        <v>61</v>
      </c>
      <c r="H27" s="113" t="s">
        <v>382</v>
      </c>
      <c r="I27" s="111" t="s">
        <v>185</v>
      </c>
      <c r="J27" s="118">
        <v>0</v>
      </c>
      <c r="K27" s="111"/>
      <c r="L27" s="111"/>
      <c r="M27" s="111"/>
      <c r="N27" s="111"/>
    </row>
    <row r="28" spans="2:14" s="26" customFormat="1" hidden="1" x14ac:dyDescent="0.35">
      <c r="B28" s="111" t="str">
        <f>VLOOKUP(C28,Companies[],3,FALSE)</f>
        <v>000117683-6</v>
      </c>
      <c r="C28" s="113" t="s">
        <v>382</v>
      </c>
      <c r="D28" s="22" t="s">
        <v>324</v>
      </c>
      <c r="E28" s="111" t="s">
        <v>507</v>
      </c>
      <c r="F28" s="111" t="s">
        <v>61</v>
      </c>
      <c r="G28" s="111" t="s">
        <v>61</v>
      </c>
      <c r="H28" s="113" t="s">
        <v>382</v>
      </c>
      <c r="I28" s="111" t="s">
        <v>185</v>
      </c>
      <c r="J28" s="118">
        <v>0</v>
      </c>
      <c r="K28" s="111"/>
      <c r="L28" s="111"/>
      <c r="M28" s="111"/>
      <c r="N28" s="111"/>
    </row>
    <row r="29" spans="2:14" s="26" customFormat="1" hidden="1" x14ac:dyDescent="0.35">
      <c r="B29" s="111" t="str">
        <f>VLOOKUP(C29,Companies[],3,FALSE)</f>
        <v>000122369-5</v>
      </c>
      <c r="C29" s="114" t="s">
        <v>380</v>
      </c>
      <c r="D29" s="22" t="s">
        <v>324</v>
      </c>
      <c r="E29" s="111" t="s">
        <v>482</v>
      </c>
      <c r="F29" s="111" t="s">
        <v>61</v>
      </c>
      <c r="G29" s="111" t="s">
        <v>61</v>
      </c>
      <c r="H29" s="114" t="s">
        <v>380</v>
      </c>
      <c r="I29" s="111" t="s">
        <v>185</v>
      </c>
      <c r="J29" s="118">
        <f>310886/[1]Sheet1!$T$370</f>
        <v>46048.206610132911</v>
      </c>
      <c r="K29" s="111"/>
      <c r="L29" s="111"/>
      <c r="M29" s="111"/>
      <c r="N29" s="111"/>
    </row>
    <row r="30" spans="2:14" s="26" customFormat="1" hidden="1" x14ac:dyDescent="0.35">
      <c r="B30" s="111" t="str">
        <f>VLOOKUP(C30,Companies[],3,FALSE)</f>
        <v>000122369-5</v>
      </c>
      <c r="C30" s="114" t="s">
        <v>380</v>
      </c>
      <c r="D30" s="22" t="s">
        <v>324</v>
      </c>
      <c r="E30" s="111" t="s">
        <v>480</v>
      </c>
      <c r="F30" s="111" t="s">
        <v>61</v>
      </c>
      <c r="G30" s="111" t="s">
        <v>61</v>
      </c>
      <c r="H30" s="114" t="s">
        <v>380</v>
      </c>
      <c r="I30" s="111" t="s">
        <v>185</v>
      </c>
      <c r="J30" s="118">
        <f>3847364/[1]Sheet1!$T$370</f>
        <v>569868.73766070977</v>
      </c>
      <c r="K30" s="111"/>
      <c r="L30" s="111"/>
      <c r="M30" s="111"/>
      <c r="N30" s="111"/>
    </row>
    <row r="31" spans="2:14" s="26" customFormat="1" hidden="1" x14ac:dyDescent="0.35">
      <c r="B31" s="111" t="str">
        <f>VLOOKUP(C31,Companies[],3,FALSE)</f>
        <v>000122369-5</v>
      </c>
      <c r="C31" s="114" t="s">
        <v>380</v>
      </c>
      <c r="D31" s="22" t="s">
        <v>324</v>
      </c>
      <c r="E31" s="111" t="s">
        <v>510</v>
      </c>
      <c r="F31" s="111" t="s">
        <v>61</v>
      </c>
      <c r="G31" s="111" t="s">
        <v>61</v>
      </c>
      <c r="H31" s="114" t="s">
        <v>380</v>
      </c>
      <c r="I31" s="111" t="s">
        <v>185</v>
      </c>
      <c r="J31" s="118">
        <f>1923682/[1]Sheet1!$T$370</f>
        <v>284934.36883035488</v>
      </c>
      <c r="K31" s="111"/>
      <c r="L31" s="111"/>
      <c r="M31" s="111"/>
      <c r="N31" s="111"/>
    </row>
    <row r="32" spans="2:14" s="26" customFormat="1" hidden="1" x14ac:dyDescent="0.35">
      <c r="B32" s="111" t="str">
        <f>VLOOKUP(C32,Companies[],3,FALSE)</f>
        <v>000122369-5</v>
      </c>
      <c r="C32" s="114" t="s">
        <v>380</v>
      </c>
      <c r="D32" s="22" t="s">
        <v>324</v>
      </c>
      <c r="E32" s="111" t="s">
        <v>504</v>
      </c>
      <c r="F32" s="111" t="s">
        <v>61</v>
      </c>
      <c r="G32" s="111" t="s">
        <v>61</v>
      </c>
      <c r="H32" s="114" t="s">
        <v>380</v>
      </c>
      <c r="I32" s="111" t="s">
        <v>185</v>
      </c>
      <c r="J32" s="118">
        <f>1923682/[1]Sheet1!$T$370</f>
        <v>284934.36883035488</v>
      </c>
      <c r="K32" s="111"/>
      <c r="L32" s="111"/>
      <c r="M32" s="111"/>
      <c r="N32" s="111"/>
    </row>
    <row r="33" spans="2:14" s="26" customFormat="1" hidden="1" x14ac:dyDescent="0.35">
      <c r="B33" s="111" t="str">
        <f>VLOOKUP(C33,Companies[],3,FALSE)</f>
        <v>000122369-5</v>
      </c>
      <c r="C33" s="114" t="s">
        <v>380</v>
      </c>
      <c r="D33" s="22" t="s">
        <v>324</v>
      </c>
      <c r="E33" s="111" t="s">
        <v>507</v>
      </c>
      <c r="F33" s="111" t="s">
        <v>61</v>
      </c>
      <c r="G33" s="111" t="s">
        <v>61</v>
      </c>
      <c r="H33" s="114" t="s">
        <v>380</v>
      </c>
      <c r="I33" s="111" t="s">
        <v>185</v>
      </c>
      <c r="J33" s="118">
        <f>404370/[1]Sheet1!$T$370</f>
        <v>59894.988217351201</v>
      </c>
      <c r="K33" s="111"/>
      <c r="L33" s="111"/>
      <c r="M33" s="111"/>
      <c r="N33" s="111"/>
    </row>
    <row r="34" spans="2:14" s="26" customFormat="1" hidden="1" x14ac:dyDescent="0.35">
      <c r="B34" s="111" t="str">
        <f>VLOOKUP(C34,Companies[],3,FALSE)</f>
        <v>100040632-9</v>
      </c>
      <c r="C34" s="113" t="s">
        <v>370</v>
      </c>
      <c r="D34" s="22" t="s">
        <v>324</v>
      </c>
      <c r="E34" s="111" t="s">
        <v>482</v>
      </c>
      <c r="F34" s="111" t="s">
        <v>61</v>
      </c>
      <c r="G34" s="111" t="s">
        <v>61</v>
      </c>
      <c r="H34" s="113" t="s">
        <v>370</v>
      </c>
      <c r="I34" s="111" t="s">
        <v>185</v>
      </c>
      <c r="J34" s="118">
        <f>4730195/[1]Sheet1!$T$370</f>
        <v>700633.01874712168</v>
      </c>
      <c r="K34" s="111"/>
      <c r="L34" s="111"/>
      <c r="M34" s="111"/>
      <c r="N34" s="111"/>
    </row>
    <row r="35" spans="2:14" s="26" customFormat="1" hidden="1" x14ac:dyDescent="0.35">
      <c r="B35" s="111" t="str">
        <f>VLOOKUP(C35,Companies[],3,FALSE)</f>
        <v>100040632-9</v>
      </c>
      <c r="C35" s="113" t="s">
        <v>370</v>
      </c>
      <c r="D35" s="22" t="s">
        <v>324</v>
      </c>
      <c r="E35" s="111" t="s">
        <v>480</v>
      </c>
      <c r="F35" s="111" t="s">
        <v>61</v>
      </c>
      <c r="G35" s="111" t="s">
        <v>61</v>
      </c>
      <c r="H35" s="113" t="s">
        <v>370</v>
      </c>
      <c r="I35" s="111" t="s">
        <v>185</v>
      </c>
      <c r="J35" s="118">
        <f>2461678/[1]Sheet1!$T$370</f>
        <v>364621.94229273358</v>
      </c>
      <c r="K35" s="111"/>
      <c r="L35" s="111"/>
      <c r="M35" s="111"/>
      <c r="N35" s="111"/>
    </row>
    <row r="36" spans="2:14" s="26" customFormat="1" hidden="1" x14ac:dyDescent="0.35">
      <c r="B36" s="111" t="str">
        <f>VLOOKUP(C36,Companies[],3,FALSE)</f>
        <v>100040632-9</v>
      </c>
      <c r="C36" s="113" t="s">
        <v>370</v>
      </c>
      <c r="D36" s="22" t="s">
        <v>324</v>
      </c>
      <c r="E36" s="111" t="s">
        <v>510</v>
      </c>
      <c r="F36" s="111" t="s">
        <v>61</v>
      </c>
      <c r="G36" s="111" t="s">
        <v>61</v>
      </c>
      <c r="H36" s="113" t="s">
        <v>370</v>
      </c>
      <c r="I36" s="111" t="s">
        <v>185</v>
      </c>
      <c r="J36" s="118">
        <f>984671/[1]Sheet1!$T$370</f>
        <v>145848.74729323993</v>
      </c>
      <c r="K36" s="111"/>
      <c r="L36" s="111"/>
      <c r="M36" s="111"/>
      <c r="N36" s="111"/>
    </row>
    <row r="37" spans="2:14" s="26" customFormat="1" hidden="1" x14ac:dyDescent="0.35">
      <c r="B37" s="111" t="str">
        <f>VLOOKUP(C37,Companies[],3,FALSE)</f>
        <v>100040632-9</v>
      </c>
      <c r="C37" s="113" t="s">
        <v>370</v>
      </c>
      <c r="D37" s="22" t="s">
        <v>324</v>
      </c>
      <c r="E37" s="111" t="s">
        <v>504</v>
      </c>
      <c r="F37" s="111" t="s">
        <v>61</v>
      </c>
      <c r="G37" s="111" t="s">
        <v>61</v>
      </c>
      <c r="H37" s="113" t="s">
        <v>370</v>
      </c>
      <c r="I37" s="111" t="s">
        <v>185</v>
      </c>
      <c r="J37" s="118">
        <f>984671/[1]Sheet1!$T$370</f>
        <v>145848.74729323993</v>
      </c>
      <c r="K37" s="111"/>
      <c r="L37" s="111"/>
      <c r="M37" s="111"/>
      <c r="N37" s="111"/>
    </row>
    <row r="38" spans="2:14" s="26" customFormat="1" hidden="1" x14ac:dyDescent="0.35">
      <c r="B38" s="111" t="str">
        <f>VLOOKUP(C38,Companies[],3,FALSE)</f>
        <v>100040632-9</v>
      </c>
      <c r="C38" s="113" t="s">
        <v>370</v>
      </c>
      <c r="D38" s="22" t="s">
        <v>324</v>
      </c>
      <c r="E38" s="111" t="s">
        <v>507</v>
      </c>
      <c r="F38" s="111" t="s">
        <v>61</v>
      </c>
      <c r="G38" s="111" t="s">
        <v>61</v>
      </c>
      <c r="H38" s="113" t="s">
        <v>370</v>
      </c>
      <c r="I38" s="111" t="s">
        <v>185</v>
      </c>
      <c r="J38" s="118">
        <f>820559/[1]Sheet1!$T$370</f>
        <v>121540.598057822</v>
      </c>
      <c r="K38" s="111"/>
      <c r="L38" s="111"/>
      <c r="M38" s="111"/>
      <c r="N38" s="111"/>
    </row>
    <row r="39" spans="2:14" s="26" customFormat="1" hidden="1" x14ac:dyDescent="0.35">
      <c r="B39" s="111" t="str">
        <f>VLOOKUP(C39,Companies[],3,FALSE)</f>
        <v>100047966-7</v>
      </c>
      <c r="C39" s="114" t="s">
        <v>384</v>
      </c>
      <c r="D39" s="22" t="s">
        <v>324</v>
      </c>
      <c r="E39" s="111" t="s">
        <v>482</v>
      </c>
      <c r="F39" s="111" t="s">
        <v>61</v>
      </c>
      <c r="G39" s="111" t="s">
        <v>61</v>
      </c>
      <c r="H39" s="114" t="s">
        <v>384</v>
      </c>
      <c r="I39" s="111" t="s">
        <v>185</v>
      </c>
      <c r="J39" s="118">
        <f>4823775/[1]Sheet1!$T$370</f>
        <v>714494.01980402425</v>
      </c>
      <c r="K39" s="111"/>
      <c r="L39" s="111"/>
      <c r="M39" s="111"/>
      <c r="N39" s="111"/>
    </row>
    <row r="40" spans="2:14" s="26" customFormat="1" hidden="1" x14ac:dyDescent="0.35">
      <c r="B40" s="111" t="str">
        <f>VLOOKUP(C40,Companies[],3,FALSE)</f>
        <v>100047966-7</v>
      </c>
      <c r="C40" s="114" t="s">
        <v>384</v>
      </c>
      <c r="D40" s="22" t="s">
        <v>324</v>
      </c>
      <c r="E40" s="111" t="s">
        <v>480</v>
      </c>
      <c r="F40" s="111" t="s">
        <v>61</v>
      </c>
      <c r="G40" s="111" t="s">
        <v>61</v>
      </c>
      <c r="H40" s="114" t="s">
        <v>384</v>
      </c>
      <c r="I40" s="111" t="s">
        <v>185</v>
      </c>
      <c r="J40" s="118">
        <f>2673644/[1]Sheet1!$T$370</f>
        <v>396018.19095727114</v>
      </c>
      <c r="K40" s="111"/>
      <c r="L40" s="111"/>
      <c r="M40" s="111"/>
      <c r="N40" s="111"/>
    </row>
    <row r="41" spans="2:14" s="26" customFormat="1" hidden="1" x14ac:dyDescent="0.35">
      <c r="B41" s="111" t="str">
        <f>VLOOKUP(C41,Companies[],3,FALSE)</f>
        <v>100047966-7</v>
      </c>
      <c r="C41" s="114" t="s">
        <v>384</v>
      </c>
      <c r="D41" s="22" t="s">
        <v>324</v>
      </c>
      <c r="E41" s="111" t="s">
        <v>510</v>
      </c>
      <c r="F41" s="111" t="s">
        <v>61</v>
      </c>
      <c r="G41" s="111" t="s">
        <v>61</v>
      </c>
      <c r="H41" s="114" t="s">
        <v>384</v>
      </c>
      <c r="I41" s="111" t="s">
        <v>185</v>
      </c>
      <c r="J41" s="118">
        <f>1069457.73/[1]Sheet1!$T$370</f>
        <v>158407.29563841323</v>
      </c>
      <c r="K41" s="111"/>
      <c r="L41" s="111"/>
      <c r="M41" s="111"/>
      <c r="N41" s="111"/>
    </row>
    <row r="42" spans="2:14" s="26" customFormat="1" hidden="1" x14ac:dyDescent="0.35">
      <c r="B42" s="111" t="str">
        <f>VLOOKUP(C42,Companies[],3,FALSE)</f>
        <v>100047966-7</v>
      </c>
      <c r="C42" s="114" t="s">
        <v>384</v>
      </c>
      <c r="D42" s="22" t="s">
        <v>324</v>
      </c>
      <c r="E42" s="111" t="s">
        <v>504</v>
      </c>
      <c r="F42" s="111" t="s">
        <v>61</v>
      </c>
      <c r="G42" s="111" t="s">
        <v>61</v>
      </c>
      <c r="H42" s="114" t="s">
        <v>384</v>
      </c>
      <c r="I42" s="111" t="s">
        <v>185</v>
      </c>
      <c r="J42" s="118">
        <f>1069457.73/[1]Sheet1!$T$370</f>
        <v>158407.29563841323</v>
      </c>
      <c r="K42" s="111"/>
      <c r="L42" s="111"/>
      <c r="M42" s="111"/>
      <c r="N42" s="111"/>
    </row>
    <row r="43" spans="2:14" s="26" customFormat="1" hidden="1" x14ac:dyDescent="0.35">
      <c r="B43" s="111" t="str">
        <f>VLOOKUP(C43,Companies[],3,FALSE)</f>
        <v>100047966-7</v>
      </c>
      <c r="C43" s="114" t="s">
        <v>384</v>
      </c>
      <c r="D43" s="22" t="s">
        <v>324</v>
      </c>
      <c r="E43" s="111" t="s">
        <v>507</v>
      </c>
      <c r="F43" s="111" t="s">
        <v>61</v>
      </c>
      <c r="G43" s="111" t="s">
        <v>61</v>
      </c>
      <c r="H43" s="114" t="s">
        <v>384</v>
      </c>
      <c r="I43" s="111" t="s">
        <v>185</v>
      </c>
      <c r="J43" s="118">
        <f>891215/[1]Sheet1!$T$370</f>
        <v>132006.1130255129</v>
      </c>
      <c r="K43" s="111"/>
      <c r="L43" s="111"/>
      <c r="M43" s="111"/>
      <c r="N43" s="111"/>
    </row>
    <row r="44" spans="2:14" s="26" customFormat="1" hidden="1" x14ac:dyDescent="0.35">
      <c r="B44" s="111" t="str">
        <f>VLOOKUP(C44,Companies[],3,FALSE)</f>
        <v>100043183-7</v>
      </c>
      <c r="C44" s="113" t="s">
        <v>386</v>
      </c>
      <c r="D44" s="22" t="s">
        <v>324</v>
      </c>
      <c r="E44" s="111" t="s">
        <v>482</v>
      </c>
      <c r="F44" s="111" t="s">
        <v>61</v>
      </c>
      <c r="G44" s="111" t="s">
        <v>61</v>
      </c>
      <c r="H44" s="113" t="s">
        <v>386</v>
      </c>
      <c r="I44" s="111" t="s">
        <v>185</v>
      </c>
      <c r="J44" s="118">
        <f>4391762/[1]Sheet1!$T$370</f>
        <v>650504.57067391439</v>
      </c>
      <c r="K44" s="111"/>
      <c r="L44" s="111"/>
      <c r="M44" s="111"/>
      <c r="N44" s="111"/>
    </row>
    <row r="45" spans="2:14" s="26" customFormat="1" hidden="1" x14ac:dyDescent="0.35">
      <c r="B45" s="111" t="str">
        <f>VLOOKUP(C45,Companies[],3,FALSE)</f>
        <v>100043183-7</v>
      </c>
      <c r="C45" s="113" t="s">
        <v>386</v>
      </c>
      <c r="D45" s="22" t="s">
        <v>324</v>
      </c>
      <c r="E45" s="111" t="s">
        <v>480</v>
      </c>
      <c r="F45" s="111" t="s">
        <v>61</v>
      </c>
      <c r="G45" s="111" t="s">
        <v>61</v>
      </c>
      <c r="H45" s="113" t="s">
        <v>386</v>
      </c>
      <c r="I45" s="111" t="s">
        <v>185</v>
      </c>
      <c r="J45" s="118">
        <f>2673644/[1]Sheet1!$T$370</f>
        <v>396018.19095727114</v>
      </c>
      <c r="K45" s="111"/>
      <c r="L45" s="111"/>
      <c r="M45" s="111"/>
      <c r="N45" s="111"/>
    </row>
    <row r="46" spans="2:14" s="26" customFormat="1" hidden="1" x14ac:dyDescent="0.35">
      <c r="B46" s="111" t="str">
        <f>VLOOKUP(C46,Companies[],3,FALSE)</f>
        <v>100043183-7</v>
      </c>
      <c r="C46" s="113" t="s">
        <v>386</v>
      </c>
      <c r="D46" s="22" t="s">
        <v>324</v>
      </c>
      <c r="E46" s="111" t="s">
        <v>510</v>
      </c>
      <c r="F46" s="111" t="s">
        <v>61</v>
      </c>
      <c r="G46" s="111" t="s">
        <v>61</v>
      </c>
      <c r="H46" s="113" t="s">
        <v>386</v>
      </c>
      <c r="I46" s="111" t="s">
        <v>185</v>
      </c>
      <c r="J46" s="118">
        <f>1069457.73/[1]Sheet1!$T$370</f>
        <v>158407.29563841323</v>
      </c>
      <c r="K46" s="111"/>
      <c r="L46" s="111"/>
      <c r="M46" s="111"/>
      <c r="N46" s="111"/>
    </row>
    <row r="47" spans="2:14" s="26" customFormat="1" hidden="1" x14ac:dyDescent="0.35">
      <c r="B47" s="111" t="str">
        <f>VLOOKUP(C47,Companies[],3,FALSE)</f>
        <v>100043183-7</v>
      </c>
      <c r="C47" s="113" t="s">
        <v>386</v>
      </c>
      <c r="D47" s="22" t="s">
        <v>324</v>
      </c>
      <c r="E47" s="111" t="s">
        <v>504</v>
      </c>
      <c r="F47" s="111" t="s">
        <v>61</v>
      </c>
      <c r="G47" s="111" t="s">
        <v>61</v>
      </c>
      <c r="H47" s="113" t="s">
        <v>386</v>
      </c>
      <c r="I47" s="111" t="s">
        <v>185</v>
      </c>
      <c r="J47" s="118">
        <f>1069457.73/[1]Sheet1!$T$370</f>
        <v>158407.29563841323</v>
      </c>
      <c r="K47" s="111"/>
      <c r="L47" s="111"/>
      <c r="M47" s="111"/>
      <c r="N47" s="111"/>
    </row>
    <row r="48" spans="2:14" s="26" customFormat="1" hidden="1" x14ac:dyDescent="0.35">
      <c r="B48" s="111" t="str">
        <f>VLOOKUP(C48,Companies[],3,FALSE)</f>
        <v>100043183-7</v>
      </c>
      <c r="C48" s="113" t="s">
        <v>386</v>
      </c>
      <c r="D48" s="22" t="s">
        <v>324</v>
      </c>
      <c r="E48" s="111" t="s">
        <v>507</v>
      </c>
      <c r="F48" s="111" t="s">
        <v>61</v>
      </c>
      <c r="G48" s="111" t="s">
        <v>61</v>
      </c>
      <c r="H48" s="113" t="s">
        <v>386</v>
      </c>
      <c r="I48" s="111" t="s">
        <v>185</v>
      </c>
      <c r="J48" s="118">
        <f>891215/[1]Sheet1!$T$370</f>
        <v>132006.1130255129</v>
      </c>
      <c r="K48" s="111"/>
      <c r="L48" s="111"/>
      <c r="M48" s="111"/>
      <c r="N48" s="111"/>
    </row>
    <row r="49" spans="2:14" s="26" customFormat="1" hidden="1" x14ac:dyDescent="0.35">
      <c r="B49" s="111" t="str">
        <f>VLOOKUP(C49,Companies[],3,FALSE)</f>
        <v>100045795-1</v>
      </c>
      <c r="C49" s="113" t="s">
        <v>374</v>
      </c>
      <c r="D49" s="111" t="s">
        <v>322</v>
      </c>
      <c r="E49" s="111" t="s">
        <v>492</v>
      </c>
      <c r="F49" s="111" t="s">
        <v>61</v>
      </c>
      <c r="G49" s="111" t="s">
        <v>61</v>
      </c>
      <c r="H49" s="113" t="s">
        <v>374</v>
      </c>
      <c r="I49" s="111" t="s">
        <v>185</v>
      </c>
      <c r="J49" s="118">
        <f>967/[1]Sheet1!$T$370</f>
        <v>143.23133171644437</v>
      </c>
      <c r="K49" s="267"/>
      <c r="L49" s="111"/>
      <c r="M49" s="111"/>
      <c r="N49" s="111"/>
    </row>
    <row r="50" spans="2:14" s="26" customFormat="1" hidden="1" x14ac:dyDescent="0.35">
      <c r="B50" s="111" t="str">
        <f>VLOOKUP(C50,Companies[],3,FALSE)</f>
        <v>100045795-1</v>
      </c>
      <c r="C50" s="113" t="s">
        <v>374</v>
      </c>
      <c r="D50" s="111" t="s">
        <v>322</v>
      </c>
      <c r="E50" s="111" t="s">
        <v>495</v>
      </c>
      <c r="F50" s="111" t="s">
        <v>61</v>
      </c>
      <c r="G50" s="111" t="s">
        <v>61</v>
      </c>
      <c r="H50" s="113" t="s">
        <v>374</v>
      </c>
      <c r="I50" s="111" t="s">
        <v>185</v>
      </c>
      <c r="J50" s="118">
        <f>8003/[1]Sheet1!$T$370</f>
        <v>1185.3984981661886</v>
      </c>
      <c r="K50" s="111"/>
      <c r="L50" s="111"/>
      <c r="M50" s="111"/>
      <c r="N50" s="111"/>
    </row>
    <row r="51" spans="2:14" s="26" customFormat="1" hidden="1" x14ac:dyDescent="0.35">
      <c r="B51" s="111" t="str">
        <f>VLOOKUP(C51,Companies[],3,FALSE)</f>
        <v>100045795-1</v>
      </c>
      <c r="C51" s="113" t="s">
        <v>374</v>
      </c>
      <c r="D51" s="22" t="s">
        <v>324</v>
      </c>
      <c r="E51" s="111" t="s">
        <v>482</v>
      </c>
      <c r="F51" s="111" t="s">
        <v>61</v>
      </c>
      <c r="G51" s="111" t="s">
        <v>61</v>
      </c>
      <c r="H51" s="113" t="s">
        <v>374</v>
      </c>
      <c r="I51" s="111" t="s">
        <v>185</v>
      </c>
      <c r="J51" s="118">
        <f>3290009/[1]Sheet1!$T$370</f>
        <v>487313.72329791874</v>
      </c>
      <c r="K51" s="267"/>
      <c r="L51" s="111"/>
      <c r="M51" s="111"/>
      <c r="N51" s="111"/>
    </row>
    <row r="52" spans="2:14" s="26" customFormat="1" hidden="1" x14ac:dyDescent="0.35">
      <c r="B52" s="111" t="str">
        <f>VLOOKUP(C52,Companies[],3,FALSE)</f>
        <v>100045795-1</v>
      </c>
      <c r="C52" s="113" t="s">
        <v>374</v>
      </c>
      <c r="D52" s="22" t="s">
        <v>324</v>
      </c>
      <c r="E52" s="111" t="s">
        <v>500</v>
      </c>
      <c r="F52" s="111" t="s">
        <v>61</v>
      </c>
      <c r="G52" s="111" t="s">
        <v>61</v>
      </c>
      <c r="H52" s="113" t="s">
        <v>374</v>
      </c>
      <c r="I52" s="111" t="s">
        <v>185</v>
      </c>
      <c r="J52" s="118">
        <f>2783341/[1]Sheet1!$T$370</f>
        <v>412266.43024920375</v>
      </c>
      <c r="K52" s="111"/>
      <c r="L52" s="111"/>
      <c r="M52" s="111"/>
      <c r="N52" s="111"/>
    </row>
    <row r="53" spans="2:14" s="26" customFormat="1" hidden="1" x14ac:dyDescent="0.35">
      <c r="B53" s="111" t="str">
        <f>VLOOKUP(C53,Companies[],3,FALSE)</f>
        <v>100045795-1</v>
      </c>
      <c r="C53" s="113" t="s">
        <v>374</v>
      </c>
      <c r="D53" s="22" t="s">
        <v>324</v>
      </c>
      <c r="E53" s="111" t="s">
        <v>480</v>
      </c>
      <c r="F53" s="111" t="s">
        <v>61</v>
      </c>
      <c r="G53" s="111" t="s">
        <v>61</v>
      </c>
      <c r="H53" s="113" t="s">
        <v>374</v>
      </c>
      <c r="I53" s="111" t="s">
        <v>185</v>
      </c>
      <c r="J53" s="118">
        <f>1113336/[1]Sheet1!$T$370</f>
        <v>164906.51285197446</v>
      </c>
      <c r="K53" s="267"/>
      <c r="L53" s="111"/>
      <c r="M53" s="111"/>
      <c r="N53" s="111"/>
    </row>
    <row r="54" spans="2:14" s="26" customFormat="1" hidden="1" x14ac:dyDescent="0.35">
      <c r="B54" s="111" t="str">
        <f>VLOOKUP(C54,Companies[],3,FALSE)</f>
        <v>100045795-1</v>
      </c>
      <c r="C54" s="113" t="s">
        <v>374</v>
      </c>
      <c r="D54" s="22" t="s">
        <v>324</v>
      </c>
      <c r="E54" s="111" t="s">
        <v>510</v>
      </c>
      <c r="F54" s="111" t="s">
        <v>61</v>
      </c>
      <c r="G54" s="111" t="s">
        <v>61</v>
      </c>
      <c r="H54" s="113" t="s">
        <v>374</v>
      </c>
      <c r="I54" s="111" t="s">
        <v>185</v>
      </c>
      <c r="J54" s="118">
        <f>1113336/[1]Sheet1!$T$370</f>
        <v>164906.51285197446</v>
      </c>
      <c r="K54" s="111"/>
      <c r="L54" s="111"/>
      <c r="M54" s="111"/>
      <c r="N54" s="111"/>
    </row>
    <row r="55" spans="2:14" s="26" customFormat="1" hidden="1" x14ac:dyDescent="0.35">
      <c r="B55" s="111" t="str">
        <f>VLOOKUP(C55,Companies[],3,FALSE)</f>
        <v>100045795-1</v>
      </c>
      <c r="C55" s="113" t="s">
        <v>374</v>
      </c>
      <c r="D55" s="22" t="s">
        <v>324</v>
      </c>
      <c r="E55" s="111" t="s">
        <v>504</v>
      </c>
      <c r="F55" s="111" t="s">
        <v>61</v>
      </c>
      <c r="G55" s="111" t="s">
        <v>61</v>
      </c>
      <c r="H55" s="113" t="s">
        <v>374</v>
      </c>
      <c r="I55" s="111" t="s">
        <v>185</v>
      </c>
      <c r="J55" s="118">
        <f>927780/[1]Sheet1!$T$370</f>
        <v>137422.09404331207</v>
      </c>
      <c r="K55" s="267"/>
      <c r="L55" s="111"/>
      <c r="M55" s="111"/>
      <c r="N55" s="111"/>
    </row>
    <row r="56" spans="2:14" s="26" customFormat="1" hidden="1" x14ac:dyDescent="0.35">
      <c r="B56" s="111" t="str">
        <f>VLOOKUP(C56,Companies[],3,FALSE)</f>
        <v>100041988-5</v>
      </c>
      <c r="C56" s="114" t="s">
        <v>376</v>
      </c>
      <c r="D56" s="111" t="s">
        <v>322</v>
      </c>
      <c r="E56" s="111" t="s">
        <v>492</v>
      </c>
      <c r="F56" s="111" t="s">
        <v>61</v>
      </c>
      <c r="G56" s="111" t="s">
        <v>61</v>
      </c>
      <c r="H56" s="114" t="s">
        <v>376</v>
      </c>
      <c r="I56" s="111" t="s">
        <v>185</v>
      </c>
      <c r="J56" s="118">
        <f>1512/[1]Sheet1!$T$370</f>
        <v>223.95633252871139</v>
      </c>
      <c r="K56" s="111"/>
      <c r="L56" s="111"/>
      <c r="M56" s="111"/>
      <c r="N56" s="111"/>
    </row>
    <row r="57" spans="2:14" s="26" customFormat="1" hidden="1" x14ac:dyDescent="0.35">
      <c r="B57" s="111" t="str">
        <f>VLOOKUP(C57,Companies[],3,FALSE)</f>
        <v>100041988-5</v>
      </c>
      <c r="C57" s="114" t="s">
        <v>376</v>
      </c>
      <c r="D57" s="111" t="s">
        <v>322</v>
      </c>
      <c r="E57" s="111" t="s">
        <v>495</v>
      </c>
      <c r="F57" s="111" t="s">
        <v>61</v>
      </c>
      <c r="G57" s="111" t="s">
        <v>61</v>
      </c>
      <c r="H57" s="114" t="s">
        <v>376</v>
      </c>
      <c r="I57" s="111" t="s">
        <v>185</v>
      </c>
      <c r="J57" s="118">
        <f>30008/[1]Sheet1!$T$370</f>
        <v>4444.762980503684</v>
      </c>
      <c r="K57" s="111"/>
      <c r="L57" s="111"/>
      <c r="M57" s="111"/>
      <c r="N57" s="111"/>
    </row>
    <row r="58" spans="2:14" s="26" customFormat="1" hidden="1" x14ac:dyDescent="0.35">
      <c r="B58" s="111" t="str">
        <f>VLOOKUP(C58,Companies[],3,FALSE)</f>
        <v>100041988-5</v>
      </c>
      <c r="C58" s="114" t="s">
        <v>376</v>
      </c>
      <c r="D58" s="22" t="s">
        <v>324</v>
      </c>
      <c r="E58" s="111" t="s">
        <v>482</v>
      </c>
      <c r="F58" s="111" t="s">
        <v>61</v>
      </c>
      <c r="G58" s="111" t="s">
        <v>61</v>
      </c>
      <c r="H58" s="114" t="s">
        <v>376</v>
      </c>
      <c r="I58" s="111" t="s">
        <v>185</v>
      </c>
      <c r="J58" s="118">
        <f>12208103/[1]Sheet1!$T$370</f>
        <v>1808255.274479338</v>
      </c>
      <c r="K58" s="111"/>
      <c r="L58" s="111"/>
      <c r="M58" s="111"/>
      <c r="N58" s="111"/>
    </row>
    <row r="59" spans="2:14" s="26" customFormat="1" hidden="1" x14ac:dyDescent="0.35">
      <c r="B59" s="111" t="str">
        <f>VLOOKUP(C59,Companies[],3,FALSE)</f>
        <v>100041988-5</v>
      </c>
      <c r="C59" s="114" t="s">
        <v>376</v>
      </c>
      <c r="D59" s="22" t="s">
        <v>324</v>
      </c>
      <c r="E59" s="111" t="s">
        <v>480</v>
      </c>
      <c r="F59" s="111" t="s">
        <v>61</v>
      </c>
      <c r="G59" s="111" t="s">
        <v>61</v>
      </c>
      <c r="H59" s="114" t="s">
        <v>376</v>
      </c>
      <c r="I59" s="111" t="s">
        <v>185</v>
      </c>
      <c r="J59" s="118">
        <f>2783341/[1]Sheet1!$T$370</f>
        <v>412266.43024920375</v>
      </c>
      <c r="K59" s="111"/>
      <c r="L59" s="111"/>
      <c r="M59" s="111"/>
      <c r="N59" s="111"/>
    </row>
    <row r="60" spans="2:14" s="26" customFormat="1" hidden="1" x14ac:dyDescent="0.35">
      <c r="B60" s="111" t="str">
        <f>VLOOKUP(C60,Companies[],3,FALSE)</f>
        <v>100041988-5</v>
      </c>
      <c r="C60" s="114" t="s">
        <v>376</v>
      </c>
      <c r="D60" s="22" t="s">
        <v>324</v>
      </c>
      <c r="E60" s="111" t="s">
        <v>510</v>
      </c>
      <c r="F60" s="111" t="s">
        <v>61</v>
      </c>
      <c r="G60" s="111" t="s">
        <v>61</v>
      </c>
      <c r="H60" s="114" t="s">
        <v>376</v>
      </c>
      <c r="I60" s="111" t="s">
        <v>185</v>
      </c>
      <c r="J60" s="118">
        <f>1113336/[1]Sheet1!$T$370</f>
        <v>164906.51285197446</v>
      </c>
      <c r="K60" s="111"/>
      <c r="L60" s="111"/>
      <c r="M60" s="111"/>
      <c r="N60" s="111"/>
    </row>
    <row r="61" spans="2:14" s="26" customFormat="1" hidden="1" x14ac:dyDescent="0.35">
      <c r="B61" s="111" t="str">
        <f>VLOOKUP(C61,Companies[],3,FALSE)</f>
        <v>100041988-5</v>
      </c>
      <c r="C61" s="114" t="s">
        <v>376</v>
      </c>
      <c r="D61" s="22" t="s">
        <v>324</v>
      </c>
      <c r="E61" s="111" t="s">
        <v>504</v>
      </c>
      <c r="F61" s="111" t="s">
        <v>61</v>
      </c>
      <c r="G61" s="111" t="s">
        <v>61</v>
      </c>
      <c r="H61" s="114" t="s">
        <v>376</v>
      </c>
      <c r="I61" s="111" t="s">
        <v>185</v>
      </c>
      <c r="J61" s="118">
        <f>1113336/[1]Sheet1!$T$370</f>
        <v>164906.51285197446</v>
      </c>
      <c r="K61" s="111"/>
      <c r="L61" s="111"/>
      <c r="M61" s="111"/>
      <c r="N61" s="111"/>
    </row>
    <row r="62" spans="2:14" s="26" customFormat="1" hidden="1" x14ac:dyDescent="0.35">
      <c r="B62" s="111" t="str">
        <f>VLOOKUP(C62,Companies[],3,FALSE)</f>
        <v>100041988-5</v>
      </c>
      <c r="C62" s="114" t="s">
        <v>376</v>
      </c>
      <c r="D62" s="22" t="s">
        <v>324</v>
      </c>
      <c r="E62" s="111" t="s">
        <v>507</v>
      </c>
      <c r="F62" s="111" t="s">
        <v>61</v>
      </c>
      <c r="G62" s="111" t="s">
        <v>61</v>
      </c>
      <c r="H62" s="114" t="s">
        <v>376</v>
      </c>
      <c r="I62" s="111" t="s">
        <v>185</v>
      </c>
      <c r="J62" s="118">
        <f>927780/[1]Sheet1!$T$370</f>
        <v>137422.09404331207</v>
      </c>
      <c r="K62" s="111"/>
      <c r="L62" s="111"/>
      <c r="M62" s="111"/>
      <c r="N62" s="111"/>
    </row>
    <row r="63" spans="2:14" s="26" customFormat="1" hidden="1" x14ac:dyDescent="0.35">
      <c r="B63" s="111" t="str">
        <f>VLOOKUP(C63,Companies[],3,FALSE)</f>
        <v>100047154-8</v>
      </c>
      <c r="C63" s="113" t="s">
        <v>390</v>
      </c>
      <c r="D63" s="111" t="s">
        <v>322</v>
      </c>
      <c r="E63" s="111" t="s">
        <v>488</v>
      </c>
      <c r="F63" s="111" t="s">
        <v>61</v>
      </c>
      <c r="G63" s="111" t="s">
        <v>61</v>
      </c>
      <c r="H63" s="113" t="s">
        <v>390</v>
      </c>
      <c r="I63" s="111" t="s">
        <v>185</v>
      </c>
      <c r="J63" s="118">
        <v>0</v>
      </c>
      <c r="K63" s="111"/>
      <c r="L63" s="111"/>
      <c r="M63" s="111"/>
      <c r="N63" s="111"/>
    </row>
    <row r="64" spans="2:14" s="26" customFormat="1" hidden="1" x14ac:dyDescent="0.35">
      <c r="B64" s="111" t="str">
        <f>VLOOKUP(C64,Companies[],3,FALSE)</f>
        <v>100047154-8</v>
      </c>
      <c r="C64" s="113" t="s">
        <v>390</v>
      </c>
      <c r="D64" s="22" t="s">
        <v>324</v>
      </c>
      <c r="E64" s="111" t="s">
        <v>482</v>
      </c>
      <c r="F64" s="111" t="s">
        <v>61</v>
      </c>
      <c r="G64" s="111" t="s">
        <v>61</v>
      </c>
      <c r="H64" s="113" t="s">
        <v>390</v>
      </c>
      <c r="I64" s="111" t="s">
        <v>185</v>
      </c>
      <c r="J64" s="118">
        <f>3039658/[1]Sheet1!$T$370</f>
        <v>450231.91654864931</v>
      </c>
      <c r="K64" s="111"/>
      <c r="L64" s="111"/>
      <c r="M64" s="111"/>
      <c r="N64" s="111"/>
    </row>
    <row r="65" spans="2:14" s="26" customFormat="1" hidden="1" x14ac:dyDescent="0.35">
      <c r="B65" s="111" t="str">
        <f>VLOOKUP(C65,Companies[],3,FALSE)</f>
        <v>000128514-1</v>
      </c>
      <c r="C65" s="113" t="s">
        <v>346</v>
      </c>
      <c r="D65" s="111" t="s">
        <v>322</v>
      </c>
      <c r="E65" s="111" t="s">
        <v>485</v>
      </c>
      <c r="F65" s="111" t="s">
        <v>61</v>
      </c>
      <c r="G65" s="111" t="s">
        <v>61</v>
      </c>
      <c r="H65" s="113" t="s">
        <v>346</v>
      </c>
      <c r="I65" s="111" t="s">
        <v>185</v>
      </c>
      <c r="J65" s="118">
        <f>98036630/[1]Sheet1!$T$370</f>
        <v>14521113.828223705</v>
      </c>
      <c r="K65" s="111"/>
      <c r="L65" s="111"/>
      <c r="M65" s="111"/>
      <c r="N65" s="111"/>
    </row>
    <row r="66" spans="2:14" s="26" customFormat="1" hidden="1" x14ac:dyDescent="0.35">
      <c r="B66" s="111" t="str">
        <f>VLOOKUP(C66,Companies[],3,FALSE)</f>
        <v>000128514-1</v>
      </c>
      <c r="C66" s="113" t="s">
        <v>346</v>
      </c>
      <c r="D66" s="111" t="s">
        <v>322</v>
      </c>
      <c r="E66" s="111" t="s">
        <v>488</v>
      </c>
      <c r="F66" s="111" t="s">
        <v>61</v>
      </c>
      <c r="G66" s="111" t="s">
        <v>61</v>
      </c>
      <c r="H66" s="113" t="s">
        <v>346</v>
      </c>
      <c r="I66" s="111" t="s">
        <v>185</v>
      </c>
      <c r="J66" s="118">
        <f>2255040/[1]Sheet1!$T$370</f>
        <v>334014.87308567809</v>
      </c>
      <c r="K66" s="111"/>
      <c r="L66" s="111"/>
      <c r="M66" s="111"/>
      <c r="N66" s="111"/>
    </row>
    <row r="67" spans="2:14" s="26" customFormat="1" hidden="1" x14ac:dyDescent="0.35">
      <c r="B67" s="111" t="str">
        <f>VLOOKUP(C67,Companies[],3,FALSE)</f>
        <v>100039340-4</v>
      </c>
      <c r="C67" s="115" t="s">
        <v>341</v>
      </c>
      <c r="D67" s="111" t="s">
        <v>322</v>
      </c>
      <c r="E67" s="111" t="s">
        <v>488</v>
      </c>
      <c r="F67" s="111" t="s">
        <v>61</v>
      </c>
      <c r="G67" s="111" t="s">
        <v>61</v>
      </c>
      <c r="H67" s="115" t="s">
        <v>341</v>
      </c>
      <c r="I67" s="111" t="s">
        <v>185</v>
      </c>
      <c r="J67" s="118">
        <f>1317/[1]Sheet1!$T$370</f>
        <v>195.07307535734978</v>
      </c>
      <c r="K67" s="111"/>
      <c r="L67" s="111"/>
      <c r="M67" s="111"/>
      <c r="N67" s="111"/>
    </row>
    <row r="68" spans="2:14" s="26" customFormat="1" hidden="1" x14ac:dyDescent="0.35">
      <c r="B68" s="111" t="str">
        <f>VLOOKUP(C68,Companies[],3,FALSE)</f>
        <v>000102561-5</v>
      </c>
      <c r="C68" s="114" t="s">
        <v>343</v>
      </c>
      <c r="D68" s="111" t="s">
        <v>322</v>
      </c>
      <c r="E68" s="111" t="s">
        <v>508</v>
      </c>
      <c r="F68" s="111" t="s">
        <v>61</v>
      </c>
      <c r="G68" s="111" t="s">
        <v>61</v>
      </c>
      <c r="H68" s="114" t="s">
        <v>343</v>
      </c>
      <c r="I68" s="111" t="s">
        <v>185</v>
      </c>
      <c r="J68" s="118">
        <f>206584881/[1]Sheet1!$T$370</f>
        <v>30599201.259682719</v>
      </c>
      <c r="K68" s="111"/>
      <c r="L68" s="111"/>
      <c r="M68" s="111"/>
      <c r="N68" s="111"/>
    </row>
    <row r="69" spans="2:14" s="26" customFormat="1" hidden="1" x14ac:dyDescent="0.35">
      <c r="B69" s="111" t="str">
        <f>VLOOKUP(C69,Companies[],3,FALSE)</f>
        <v>000102561-5</v>
      </c>
      <c r="C69" s="114" t="s">
        <v>343</v>
      </c>
      <c r="D69" s="111" t="s">
        <v>322</v>
      </c>
      <c r="E69" s="111" t="s">
        <v>512</v>
      </c>
      <c r="F69" s="111" t="s">
        <v>61</v>
      </c>
      <c r="G69" s="111" t="s">
        <v>61</v>
      </c>
      <c r="H69" s="114" t="s">
        <v>343</v>
      </c>
      <c r="I69" s="111" t="s">
        <v>185</v>
      </c>
      <c r="J69" s="118">
        <f>6689824/[1]Sheet1!$T$370</f>
        <v>990891.83088793256</v>
      </c>
      <c r="K69" s="111"/>
      <c r="L69" s="111"/>
      <c r="M69" s="111"/>
      <c r="N69" s="111"/>
    </row>
    <row r="70" spans="2:14" s="26" customFormat="1" hidden="1" x14ac:dyDescent="0.35">
      <c r="B70" s="111" t="str">
        <f>VLOOKUP(C70,Companies[],3,FALSE)</f>
        <v>000102561-5</v>
      </c>
      <c r="C70" s="114" t="s">
        <v>343</v>
      </c>
      <c r="D70" s="111" t="s">
        <v>322</v>
      </c>
      <c r="E70" s="111" t="s">
        <v>488</v>
      </c>
      <c r="F70" s="111" t="s">
        <v>61</v>
      </c>
      <c r="G70" s="111" t="s">
        <v>61</v>
      </c>
      <c r="H70" s="114" t="s">
        <v>343</v>
      </c>
      <c r="I70" s="111" t="s">
        <v>185</v>
      </c>
      <c r="J70" s="118">
        <f>20560204/[1]Sheet1!$T$370</f>
        <v>3045362.3570649084</v>
      </c>
      <c r="K70" s="111"/>
      <c r="L70" s="111"/>
      <c r="M70" s="111"/>
      <c r="N70" s="111"/>
    </row>
    <row r="71" spans="2:14" s="26" customFormat="1" hidden="1" x14ac:dyDescent="0.35">
      <c r="B71" s="111" t="str">
        <f>VLOOKUP(C71,Companies[],3,FALSE)</f>
        <v>000102561-5</v>
      </c>
      <c r="C71" s="114" t="s">
        <v>343</v>
      </c>
      <c r="D71" s="111" t="s">
        <v>322</v>
      </c>
      <c r="E71" s="111" t="s">
        <v>490</v>
      </c>
      <c r="F71" s="111" t="s">
        <v>61</v>
      </c>
      <c r="G71" s="111" t="s">
        <v>61</v>
      </c>
      <c r="H71" s="114" t="s">
        <v>343</v>
      </c>
      <c r="I71" s="111" t="s">
        <v>185</v>
      </c>
      <c r="J71" s="118">
        <f>379496/[1]Sheet1!$T$370</f>
        <v>56210.669556425826</v>
      </c>
      <c r="K71" s="111"/>
      <c r="L71" s="111"/>
      <c r="M71" s="111"/>
      <c r="N71" s="111"/>
    </row>
    <row r="72" spans="2:14" s="26" customFormat="1" ht="15.6" hidden="1" x14ac:dyDescent="0.35">
      <c r="B72" s="111" t="str">
        <f>VLOOKUP(C72,Companies[],3,FALSE)</f>
        <v>000102561-5</v>
      </c>
      <c r="C72" s="114" t="s">
        <v>343</v>
      </c>
      <c r="D72" s="22" t="s">
        <v>324</v>
      </c>
      <c r="E72" s="112" t="s">
        <v>506</v>
      </c>
      <c r="F72" s="111" t="s">
        <v>61</v>
      </c>
      <c r="G72" s="111" t="s">
        <v>61</v>
      </c>
      <c r="H72" s="114" t="s">
        <v>343</v>
      </c>
      <c r="I72" s="111" t="s">
        <v>185</v>
      </c>
      <c r="J72" s="118">
        <f>1011026830/[1]Sheet1!$T$370</f>
        <v>149752553.52839217</v>
      </c>
      <c r="K72" s="111"/>
      <c r="L72" s="111"/>
      <c r="M72" s="111"/>
      <c r="N72" s="111"/>
    </row>
    <row r="73" spans="2:14" s="26" customFormat="1" hidden="1" x14ac:dyDescent="0.35">
      <c r="B73" s="111" t="str">
        <f>VLOOKUP(C73,Companies[],3,FALSE)</f>
        <v>000102561-5</v>
      </c>
      <c r="C73" s="114" t="s">
        <v>343</v>
      </c>
      <c r="D73" s="22" t="s">
        <v>324</v>
      </c>
      <c r="E73" s="111" t="s">
        <v>493</v>
      </c>
      <c r="F73" s="111" t="s">
        <v>61</v>
      </c>
      <c r="G73" s="111" t="s">
        <v>61</v>
      </c>
      <c r="H73" s="114" t="s">
        <v>343</v>
      </c>
      <c r="I73" s="111" t="s">
        <v>185</v>
      </c>
      <c r="J73" s="118">
        <f>715822/[1]Sheet1!$T$370</f>
        <v>106027.03033291483</v>
      </c>
      <c r="K73" s="111"/>
      <c r="L73" s="111"/>
      <c r="M73" s="111"/>
      <c r="N73" s="111"/>
    </row>
    <row r="74" spans="2:14" s="26" customFormat="1" hidden="1" x14ac:dyDescent="0.35">
      <c r="B74" s="111" t="str">
        <f>VLOOKUP(C74,Companies[],3,FALSE)</f>
        <v>000102561-5</v>
      </c>
      <c r="C74" s="114" t="s">
        <v>343</v>
      </c>
      <c r="D74" s="22" t="s">
        <v>324</v>
      </c>
      <c r="E74" s="111" t="s">
        <v>497</v>
      </c>
      <c r="F74" s="111" t="s">
        <v>61</v>
      </c>
      <c r="G74" s="111" t="s">
        <v>61</v>
      </c>
      <c r="H74" s="114" t="s">
        <v>343</v>
      </c>
      <c r="I74" s="111" t="s">
        <v>185</v>
      </c>
      <c r="J74" s="118">
        <f>23478434/[1]Sheet1!$T$370</f>
        <v>3477608.4471940496</v>
      </c>
      <c r="K74" s="111"/>
      <c r="L74" s="111"/>
      <c r="M74" s="111"/>
      <c r="N74" s="111"/>
    </row>
    <row r="75" spans="2:14" s="26" customFormat="1" hidden="1" x14ac:dyDescent="0.35">
      <c r="B75" s="111" t="str">
        <f>VLOOKUP(C75,Companies[],3,FALSE)</f>
        <v>000102561-5</v>
      </c>
      <c r="C75" s="114" t="s">
        <v>343</v>
      </c>
      <c r="D75" s="22" t="s">
        <v>324</v>
      </c>
      <c r="E75" s="111" t="s">
        <v>496</v>
      </c>
      <c r="F75" s="111" t="s">
        <v>61</v>
      </c>
      <c r="G75" s="111" t="s">
        <v>61</v>
      </c>
      <c r="H75" s="114" t="s">
        <v>343</v>
      </c>
      <c r="I75" s="111" t="s">
        <v>185</v>
      </c>
      <c r="J75" s="118">
        <f>57074636/[1]Sheet1!$T$370</f>
        <v>8453853.2797428314</v>
      </c>
      <c r="K75" s="111"/>
      <c r="L75" s="111"/>
      <c r="M75" s="111"/>
      <c r="N75" s="111"/>
    </row>
    <row r="76" spans="2:14" s="26" customFormat="1" hidden="1" x14ac:dyDescent="0.35">
      <c r="B76" s="111" t="str">
        <f>VLOOKUP(C76,Companies[],3,FALSE)</f>
        <v>000115341-9</v>
      </c>
      <c r="C76" s="116" t="s">
        <v>338</v>
      </c>
      <c r="D76" s="111" t="s">
        <v>322</v>
      </c>
      <c r="E76" s="111" t="s">
        <v>488</v>
      </c>
      <c r="F76" s="111" t="s">
        <v>61</v>
      </c>
      <c r="G76" s="111" t="s">
        <v>61</v>
      </c>
      <c r="H76" s="116" t="s">
        <v>338</v>
      </c>
      <c r="I76" s="111" t="s">
        <v>185</v>
      </c>
      <c r="J76" s="118">
        <v>0</v>
      </c>
      <c r="K76" s="111"/>
      <c r="L76" s="111"/>
      <c r="M76" s="111"/>
      <c r="N76" s="111"/>
    </row>
    <row r="77" spans="2:14" s="26" customFormat="1" hidden="1" x14ac:dyDescent="0.35">
      <c r="B77" s="111" t="str">
        <f>VLOOKUP(C77,Companies[],3,FALSE)</f>
        <v>000115341-9</v>
      </c>
      <c r="C77" s="116" t="s">
        <v>338</v>
      </c>
      <c r="D77" s="22" t="s">
        <v>324</v>
      </c>
      <c r="E77" s="111" t="s">
        <v>482</v>
      </c>
      <c r="F77" s="111" t="s">
        <v>61</v>
      </c>
      <c r="G77" s="111" t="s">
        <v>61</v>
      </c>
      <c r="H77" s="116" t="s">
        <v>338</v>
      </c>
      <c r="I77" s="111" t="s">
        <v>185</v>
      </c>
      <c r="J77" s="118">
        <f>311155/[1]Sheet1!$T$370</f>
        <v>46088.050693102639</v>
      </c>
      <c r="K77" s="111"/>
      <c r="L77" s="111"/>
      <c r="M77" s="111"/>
      <c r="N77" s="111"/>
    </row>
    <row r="78" spans="2:14" s="26" customFormat="1" hidden="1" x14ac:dyDescent="0.35">
      <c r="B78" s="111" t="str">
        <f>VLOOKUP(C78,Companies[],3,FALSE)</f>
        <v>000115341-9</v>
      </c>
      <c r="C78" s="116" t="s">
        <v>338</v>
      </c>
      <c r="D78" s="22" t="s">
        <v>324</v>
      </c>
      <c r="E78" s="111" t="s">
        <v>480</v>
      </c>
      <c r="F78" s="111" t="s">
        <v>61</v>
      </c>
      <c r="G78" s="111" t="s">
        <v>61</v>
      </c>
      <c r="H78" s="116" t="s">
        <v>338</v>
      </c>
      <c r="I78" s="111" t="s">
        <v>185</v>
      </c>
      <c r="J78" s="118">
        <f>5150703/[1]Sheet1!$T$370</f>
        <v>762918.35570412118</v>
      </c>
      <c r="K78" s="111"/>
      <c r="L78" s="111"/>
      <c r="M78" s="111"/>
      <c r="N78" s="111"/>
    </row>
    <row r="79" spans="2:14" s="26" customFormat="1" hidden="1" x14ac:dyDescent="0.35">
      <c r="B79" s="111" t="str">
        <f>VLOOKUP(C79,Companies[],3,FALSE)</f>
        <v>000115341-9</v>
      </c>
      <c r="C79" s="116" t="s">
        <v>338</v>
      </c>
      <c r="D79" s="22" t="s">
        <v>324</v>
      </c>
      <c r="E79" s="111" t="s">
        <v>510</v>
      </c>
      <c r="F79" s="111" t="s">
        <v>61</v>
      </c>
      <c r="G79" s="111" t="s">
        <v>61</v>
      </c>
      <c r="H79" s="116" t="s">
        <v>338</v>
      </c>
      <c r="I79" s="111" t="s">
        <v>185</v>
      </c>
      <c r="J79" s="118">
        <f>2575352/[1]Sheet1!$T$370</f>
        <v>381459.25191169436</v>
      </c>
      <c r="K79" s="111"/>
      <c r="L79" s="111"/>
      <c r="M79" s="111"/>
      <c r="N79" s="111"/>
    </row>
    <row r="80" spans="2:14" s="26" customFormat="1" hidden="1" x14ac:dyDescent="0.35">
      <c r="B80" s="111" t="str">
        <f>VLOOKUP(C80,Companies[],3,FALSE)</f>
        <v>000115341-9</v>
      </c>
      <c r="C80" s="116" t="s">
        <v>338</v>
      </c>
      <c r="D80" s="22" t="s">
        <v>324</v>
      </c>
      <c r="E80" s="111" t="s">
        <v>504</v>
      </c>
      <c r="F80" s="111" t="s">
        <v>61</v>
      </c>
      <c r="G80" s="111" t="s">
        <v>61</v>
      </c>
      <c r="H80" s="116" t="s">
        <v>338</v>
      </c>
      <c r="I80" s="111" t="s">
        <v>185</v>
      </c>
      <c r="J80" s="118">
        <f>2575352/[1]Sheet1!$T$370</f>
        <v>381459.25191169436</v>
      </c>
      <c r="K80" s="111"/>
      <c r="L80" s="111"/>
      <c r="M80" s="111"/>
      <c r="N80" s="111"/>
    </row>
    <row r="81" spans="2:14" s="26" customFormat="1" hidden="1" x14ac:dyDescent="0.35">
      <c r="B81" s="111" t="str">
        <f>VLOOKUP(C81,Companies[],3,FALSE)</f>
        <v>100019007-1</v>
      </c>
      <c r="C81" s="110" t="s">
        <v>392</v>
      </c>
      <c r="D81" s="111" t="s">
        <v>322</v>
      </c>
      <c r="E81" s="111" t="s">
        <v>488</v>
      </c>
      <c r="F81" s="111" t="s">
        <v>61</v>
      </c>
      <c r="G81" s="111" t="s">
        <v>61</v>
      </c>
      <c r="H81" s="110" t="s">
        <v>392</v>
      </c>
      <c r="I81" s="111" t="s">
        <v>185</v>
      </c>
      <c r="J81" s="118">
        <f>1419795/[1]Sheet1!$T$370</f>
        <v>210298.99546468371</v>
      </c>
      <c r="K81" s="111"/>
      <c r="L81" s="111"/>
      <c r="M81" s="111"/>
      <c r="N81" s="111"/>
    </row>
    <row r="82" spans="2:14" s="26" customFormat="1" hidden="1" x14ac:dyDescent="0.35">
      <c r="B82" s="111" t="str">
        <f>VLOOKUP(C82,Companies[],3,FALSE)</f>
        <v>100019007-1</v>
      </c>
      <c r="C82" s="110" t="s">
        <v>392</v>
      </c>
      <c r="D82" s="111" t="s">
        <v>322</v>
      </c>
      <c r="E82" s="111" t="s">
        <v>490</v>
      </c>
      <c r="F82" s="111" t="s">
        <v>61</v>
      </c>
      <c r="G82" s="111" t="s">
        <v>61</v>
      </c>
      <c r="H82" s="110" t="s">
        <v>392</v>
      </c>
      <c r="I82" s="111" t="s">
        <v>185</v>
      </c>
      <c r="J82" s="118">
        <f>289002/[1]Sheet1!$T$370</f>
        <v>42806.764559168412</v>
      </c>
      <c r="K82" s="111"/>
      <c r="L82" s="111"/>
      <c r="M82" s="111"/>
      <c r="N82" s="111"/>
    </row>
    <row r="83" spans="2:14" s="26" customFormat="1" hidden="1" x14ac:dyDescent="0.35">
      <c r="B83" s="111" t="str">
        <f>VLOOKUP(C83,Companies[],3,FALSE)</f>
        <v>100019007-1</v>
      </c>
      <c r="C83" s="110" t="s">
        <v>392</v>
      </c>
      <c r="D83" s="111" t="s">
        <v>322</v>
      </c>
      <c r="E83" s="111" t="s">
        <v>492</v>
      </c>
      <c r="F83" s="111" t="s">
        <v>61</v>
      </c>
      <c r="G83" s="111" t="s">
        <v>61</v>
      </c>
      <c r="H83" s="110" t="s">
        <v>392</v>
      </c>
      <c r="I83" s="111" t="s">
        <v>185</v>
      </c>
      <c r="J83" s="118">
        <f>28137/[1]Sheet1!$T$370</f>
        <v>4167.6318309261587</v>
      </c>
      <c r="K83" s="111"/>
      <c r="L83" s="111"/>
      <c r="M83" s="111"/>
      <c r="N83" s="111"/>
    </row>
    <row r="84" spans="2:14" s="26" customFormat="1" hidden="1" x14ac:dyDescent="0.35">
      <c r="B84" s="111" t="str">
        <f>VLOOKUP(C84,Companies[],3,FALSE)</f>
        <v>100019007-1</v>
      </c>
      <c r="C84" s="110" t="s">
        <v>392</v>
      </c>
      <c r="D84" s="111" t="s">
        <v>322</v>
      </c>
      <c r="E84" s="111" t="s">
        <v>495</v>
      </c>
      <c r="F84" s="111" t="s">
        <v>61</v>
      </c>
      <c r="G84" s="111" t="s">
        <v>61</v>
      </c>
      <c r="H84" s="110" t="s">
        <v>392</v>
      </c>
      <c r="I84" s="111" t="s">
        <v>185</v>
      </c>
      <c r="J84" s="118">
        <f>72250/[1]Sheet1!$T$370</f>
        <v>10701.61708015833</v>
      </c>
      <c r="K84" s="111"/>
      <c r="L84" s="111"/>
      <c r="M84" s="111"/>
      <c r="N84" s="111"/>
    </row>
    <row r="85" spans="2:14" s="26" customFormat="1" hidden="1" x14ac:dyDescent="0.35">
      <c r="B85" s="111" t="str">
        <f>VLOOKUP(C85,Companies[],3,FALSE)</f>
        <v>100019007-1</v>
      </c>
      <c r="C85" s="110" t="s">
        <v>392</v>
      </c>
      <c r="D85" s="22" t="s">
        <v>324</v>
      </c>
      <c r="E85" s="111" t="s">
        <v>482</v>
      </c>
      <c r="F85" s="111" t="s">
        <v>61</v>
      </c>
      <c r="G85" s="111" t="s">
        <v>61</v>
      </c>
      <c r="H85" s="110" t="s">
        <v>392</v>
      </c>
      <c r="I85" s="111" t="s">
        <v>185</v>
      </c>
      <c r="J85" s="118">
        <f>362088/[1]Sheet1!$T$370</f>
        <v>53632.209346994736</v>
      </c>
      <c r="K85" s="111"/>
      <c r="L85" s="111"/>
      <c r="M85" s="111"/>
      <c r="N85" s="111"/>
    </row>
    <row r="86" spans="2:14" s="26" customFormat="1" hidden="1" x14ac:dyDescent="0.35">
      <c r="B86" s="111" t="str">
        <f>VLOOKUP(C86,Companies[],3,FALSE)</f>
        <v>100019007-1</v>
      </c>
      <c r="C86" s="110" t="s">
        <v>392</v>
      </c>
      <c r="D86" s="22" t="s">
        <v>324</v>
      </c>
      <c r="E86" s="111" t="s">
        <v>500</v>
      </c>
      <c r="F86" s="111" t="s">
        <v>61</v>
      </c>
      <c r="G86" s="111" t="s">
        <v>61</v>
      </c>
      <c r="H86" s="110" t="s">
        <v>392</v>
      </c>
      <c r="I86" s="111" t="s">
        <v>185</v>
      </c>
      <c r="J86" s="118">
        <f>87660504/[1]Sheet1!$T$370</f>
        <v>12984209.645144466</v>
      </c>
      <c r="K86" s="111"/>
      <c r="L86" s="111"/>
      <c r="M86" s="111"/>
      <c r="N86" s="111"/>
    </row>
    <row r="87" spans="2:14" s="26" customFormat="1" hidden="1" x14ac:dyDescent="0.35">
      <c r="B87" s="111" t="str">
        <f>VLOOKUP(C87,Companies[],3,FALSE)</f>
        <v>100019007-1</v>
      </c>
      <c r="C87" s="110" t="s">
        <v>392</v>
      </c>
      <c r="D87" s="22" t="s">
        <v>324</v>
      </c>
      <c r="E87" s="111" t="s">
        <v>480</v>
      </c>
      <c r="F87" s="111" t="s">
        <v>61</v>
      </c>
      <c r="G87" s="111" t="s">
        <v>61</v>
      </c>
      <c r="H87" s="110" t="s">
        <v>392</v>
      </c>
      <c r="I87" s="111" t="s">
        <v>185</v>
      </c>
      <c r="J87" s="118">
        <f>3237175/[1]Sheet1!$T$370</f>
        <v>479487.98991642275</v>
      </c>
      <c r="K87" s="111"/>
      <c r="L87" s="111"/>
      <c r="M87" s="111"/>
      <c r="N87" s="111"/>
    </row>
    <row r="88" spans="2:14" s="26" customFormat="1" hidden="1" x14ac:dyDescent="0.35">
      <c r="B88" s="111" t="str">
        <f>VLOOKUP(C88,Companies[],3,FALSE)</f>
        <v>100019007-1</v>
      </c>
      <c r="C88" s="110" t="s">
        <v>392</v>
      </c>
      <c r="D88" s="22" t="s">
        <v>324</v>
      </c>
      <c r="E88" s="111" t="s">
        <v>510</v>
      </c>
      <c r="F88" s="111" t="s">
        <v>61</v>
      </c>
      <c r="G88" s="111" t="s">
        <v>61</v>
      </c>
      <c r="H88" s="110" t="s">
        <v>392</v>
      </c>
      <c r="I88" s="111" t="s">
        <v>185</v>
      </c>
      <c r="J88" s="118">
        <f>1705303/[1]Sheet1!$T$370</f>
        <v>252588.23130304835</v>
      </c>
      <c r="K88" s="111"/>
      <c r="L88" s="111"/>
      <c r="M88" s="111"/>
      <c r="N88" s="111"/>
    </row>
    <row r="89" spans="2:14" s="26" customFormat="1" hidden="1" x14ac:dyDescent="0.35">
      <c r="B89" s="111" t="str">
        <f>VLOOKUP(C89,Companies[],3,FALSE)</f>
        <v>100019007-1</v>
      </c>
      <c r="C89" s="110" t="s">
        <v>392</v>
      </c>
      <c r="D89" s="22" t="s">
        <v>324</v>
      </c>
      <c r="E89" s="111" t="s">
        <v>504</v>
      </c>
      <c r="F89" s="111" t="s">
        <v>61</v>
      </c>
      <c r="G89" s="111" t="s">
        <v>61</v>
      </c>
      <c r="H89" s="110" t="s">
        <v>392</v>
      </c>
      <c r="I89" s="111" t="s">
        <v>185</v>
      </c>
      <c r="J89" s="118">
        <f>1705303/[1]Sheet1!$T$370</f>
        <v>252588.23130304835</v>
      </c>
      <c r="K89" s="111"/>
      <c r="L89" s="111"/>
      <c r="M89" s="111"/>
      <c r="N89" s="111"/>
    </row>
    <row r="90" spans="2:14" s="26" customFormat="1" hidden="1" x14ac:dyDescent="0.35">
      <c r="B90" s="111" t="str">
        <f>VLOOKUP(C90,Companies[],3,FALSE)</f>
        <v>100019007-1</v>
      </c>
      <c r="C90" s="110" t="s">
        <v>392</v>
      </c>
      <c r="D90" s="22" t="s">
        <v>324</v>
      </c>
      <c r="E90" s="111" t="s">
        <v>507</v>
      </c>
      <c r="F90" s="111" t="s">
        <v>61</v>
      </c>
      <c r="G90" s="111" t="s">
        <v>61</v>
      </c>
      <c r="H90" s="110" t="s">
        <v>392</v>
      </c>
      <c r="I90" s="111" t="s">
        <v>185</v>
      </c>
      <c r="J90" s="118">
        <f>168845/[1]Sheet1!$T$370</f>
        <v>25009.197728710496</v>
      </c>
      <c r="K90" s="111"/>
      <c r="L90" s="111"/>
      <c r="M90" s="111"/>
      <c r="N90" s="111"/>
    </row>
    <row r="91" spans="2:14" s="26" customFormat="1" hidden="1" x14ac:dyDescent="0.35">
      <c r="B91" s="111" t="str">
        <f>VLOOKUP(C91,Companies[],3,FALSE)</f>
        <v>000115200-9</v>
      </c>
      <c r="C91" s="113" t="s">
        <v>398</v>
      </c>
      <c r="D91" s="111" t="s">
        <v>322</v>
      </c>
      <c r="E91" s="111" t="s">
        <v>508</v>
      </c>
      <c r="F91" s="111" t="s">
        <v>61</v>
      </c>
      <c r="G91" s="111" t="s">
        <v>61</v>
      </c>
      <c r="H91" s="113" t="s">
        <v>398</v>
      </c>
      <c r="I91" s="111" t="s">
        <v>185</v>
      </c>
      <c r="J91" s="118">
        <f>9392/[1]Sheet1!$T$370</f>
        <v>1391.1361607868103</v>
      </c>
      <c r="K91" s="111"/>
      <c r="L91" s="111"/>
      <c r="M91" s="111"/>
      <c r="N91" s="111"/>
    </row>
    <row r="92" spans="2:14" s="26" customFormat="1" hidden="1" x14ac:dyDescent="0.35">
      <c r="B92" s="111" t="str">
        <f>VLOOKUP(C92,Companies[],3,FALSE)</f>
        <v>000115200-9</v>
      </c>
      <c r="C92" s="113" t="s">
        <v>398</v>
      </c>
      <c r="D92" s="111" t="s">
        <v>322</v>
      </c>
      <c r="E92" s="111" t="s">
        <v>498</v>
      </c>
      <c r="F92" s="111" t="s">
        <v>61</v>
      </c>
      <c r="G92" s="111" t="s">
        <v>61</v>
      </c>
      <c r="H92" s="113" t="s">
        <v>398</v>
      </c>
      <c r="I92" s="111" t="s">
        <v>185</v>
      </c>
      <c r="J92" s="118">
        <f>31505118/[1]Sheet1!$T$370</f>
        <v>4666515.0020927843</v>
      </c>
      <c r="K92" s="111"/>
      <c r="L92" s="111"/>
      <c r="M92" s="111"/>
      <c r="N92" s="111"/>
    </row>
    <row r="93" spans="2:14" s="26" customFormat="1" hidden="1" x14ac:dyDescent="0.35">
      <c r="B93" s="111" t="str">
        <f>VLOOKUP(C93,Companies[],3,FALSE)</f>
        <v>000115200-9</v>
      </c>
      <c r="C93" s="113" t="s">
        <v>398</v>
      </c>
      <c r="D93" s="111" t="s">
        <v>322</v>
      </c>
      <c r="E93" s="111" t="s">
        <v>512</v>
      </c>
      <c r="F93" s="111" t="s">
        <v>61</v>
      </c>
      <c r="G93" s="111" t="s">
        <v>61</v>
      </c>
      <c r="H93" s="113" t="s">
        <v>398</v>
      </c>
      <c r="I93" s="111" t="s">
        <v>185</v>
      </c>
      <c r="J93" s="118">
        <f>11485484/[1]Sheet1!$T$370</f>
        <v>1701221.4774849166</v>
      </c>
      <c r="K93" s="111"/>
      <c r="L93" s="111"/>
      <c r="M93" s="111"/>
      <c r="N93" s="111"/>
    </row>
    <row r="94" spans="2:14" s="26" customFormat="1" hidden="1" x14ac:dyDescent="0.35">
      <c r="B94" s="111" t="str">
        <f>VLOOKUP(C94,Companies[],3,FALSE)</f>
        <v>000115200-9</v>
      </c>
      <c r="C94" s="113" t="s">
        <v>398</v>
      </c>
      <c r="D94" s="111" t="s">
        <v>322</v>
      </c>
      <c r="E94" s="111" t="s">
        <v>488</v>
      </c>
      <c r="F94" s="111" t="s">
        <v>61</v>
      </c>
      <c r="G94" s="111" t="s">
        <v>61</v>
      </c>
      <c r="H94" s="113" t="s">
        <v>398</v>
      </c>
      <c r="I94" s="111" t="s">
        <v>185</v>
      </c>
      <c r="J94" s="118">
        <f>2007599/[1]Sheet1!$T$370</f>
        <v>297364.09340496588</v>
      </c>
      <c r="K94" s="111"/>
      <c r="L94" s="111"/>
      <c r="M94" s="111"/>
      <c r="N94" s="111"/>
    </row>
    <row r="95" spans="2:14" s="26" customFormat="1" hidden="1" x14ac:dyDescent="0.35">
      <c r="B95" s="111" t="str">
        <f>VLOOKUP(C95,Companies[],3,FALSE)</f>
        <v>000115200-9</v>
      </c>
      <c r="C95" s="113" t="s">
        <v>398</v>
      </c>
      <c r="D95" s="22" t="s">
        <v>324</v>
      </c>
      <c r="E95" s="111" t="s">
        <v>493</v>
      </c>
      <c r="F95" s="111" t="s">
        <v>61</v>
      </c>
      <c r="G95" s="111" t="s">
        <v>61</v>
      </c>
      <c r="H95" s="113" t="s">
        <v>398</v>
      </c>
      <c r="I95" s="111" t="s">
        <v>185</v>
      </c>
      <c r="J95" s="118">
        <f>92883/[1]Sheet1!$T$370</f>
        <v>13757.761927423478</v>
      </c>
      <c r="K95" s="111"/>
      <c r="L95" s="111"/>
      <c r="M95" s="111"/>
      <c r="N95" s="111"/>
    </row>
    <row r="96" spans="2:14" s="26" customFormat="1" hidden="1" x14ac:dyDescent="0.35">
      <c r="B96" s="111" t="str">
        <f>VLOOKUP(C96,Companies[],3,FALSE)</f>
        <v>000115200-9</v>
      </c>
      <c r="C96" s="113" t="s">
        <v>398</v>
      </c>
      <c r="D96" s="22" t="s">
        <v>324</v>
      </c>
      <c r="E96" s="111" t="s">
        <v>482</v>
      </c>
      <c r="F96" s="111" t="s">
        <v>61</v>
      </c>
      <c r="G96" s="111" t="s">
        <v>61</v>
      </c>
      <c r="H96" s="113" t="s">
        <v>398</v>
      </c>
      <c r="I96" s="111" t="s">
        <v>185</v>
      </c>
      <c r="J96" s="118">
        <f>265752/[1]Sheet1!$T$370</f>
        <v>39362.991588736841</v>
      </c>
      <c r="K96" s="111"/>
      <c r="L96" s="111"/>
      <c r="M96" s="111"/>
      <c r="N96" s="111"/>
    </row>
    <row r="97" spans="2:14" s="26" customFormat="1" hidden="1" x14ac:dyDescent="0.35">
      <c r="B97" s="111" t="str">
        <f>VLOOKUP(C97,Companies[],3,FALSE)</f>
        <v>000115200-9</v>
      </c>
      <c r="C97" s="113" t="s">
        <v>398</v>
      </c>
      <c r="D97" s="22" t="s">
        <v>324</v>
      </c>
      <c r="E97" s="111" t="s">
        <v>500</v>
      </c>
      <c r="F97" s="111" t="s">
        <v>61</v>
      </c>
      <c r="G97" s="111" t="s">
        <v>61</v>
      </c>
      <c r="H97" s="113" t="s">
        <v>398</v>
      </c>
      <c r="I97" s="111" t="s">
        <v>185</v>
      </c>
      <c r="J97" s="118">
        <f>221773894/[1]Sheet1!$T$370</f>
        <v>32848986.739980944</v>
      </c>
      <c r="K97" s="111"/>
      <c r="L97" s="111"/>
      <c r="M97" s="111"/>
      <c r="N97" s="111"/>
    </row>
    <row r="98" spans="2:14" s="26" customFormat="1" hidden="1" x14ac:dyDescent="0.35">
      <c r="B98" s="111" t="str">
        <f>VLOOKUP(C98,Companies[],3,FALSE)</f>
        <v>000115200-9</v>
      </c>
      <c r="C98" s="113" t="s">
        <v>398</v>
      </c>
      <c r="D98" s="22" t="s">
        <v>324</v>
      </c>
      <c r="E98" s="111" t="s">
        <v>480</v>
      </c>
      <c r="F98" s="111" t="s">
        <v>61</v>
      </c>
      <c r="G98" s="111" t="s">
        <v>61</v>
      </c>
      <c r="H98" s="113" t="s">
        <v>398</v>
      </c>
      <c r="I98" s="111" t="s">
        <v>185</v>
      </c>
      <c r="J98" s="118">
        <f>5477480/[1]Sheet1!$T$370</f>
        <v>811320.3255948188</v>
      </c>
      <c r="K98" s="111"/>
      <c r="L98" s="111"/>
      <c r="M98" s="111"/>
      <c r="N98" s="111"/>
    </row>
    <row r="99" spans="2:14" s="26" customFormat="1" hidden="1" x14ac:dyDescent="0.35">
      <c r="B99" s="111" t="str">
        <f>VLOOKUP(C99,Companies[],3,FALSE)</f>
        <v>000115200-9</v>
      </c>
      <c r="C99" s="113" t="s">
        <v>398</v>
      </c>
      <c r="D99" s="22" t="s">
        <v>324</v>
      </c>
      <c r="E99" s="111" t="s">
        <v>510</v>
      </c>
      <c r="F99" s="111" t="s">
        <v>61</v>
      </c>
      <c r="G99" s="111" t="s">
        <v>61</v>
      </c>
      <c r="H99" s="113" t="s">
        <v>398</v>
      </c>
      <c r="I99" s="111" t="s">
        <v>185</v>
      </c>
      <c r="J99" s="118">
        <f>3012614/[1]Sheet1!$T$370</f>
        <v>446226.1790771503</v>
      </c>
      <c r="K99" s="111"/>
      <c r="L99" s="111"/>
      <c r="M99" s="111"/>
      <c r="N99" s="111"/>
    </row>
    <row r="100" spans="2:14" s="26" customFormat="1" hidden="1" x14ac:dyDescent="0.35">
      <c r="B100" s="111" t="str">
        <f>VLOOKUP(C100,Companies[],3,FALSE)</f>
        <v>000115200-9</v>
      </c>
      <c r="C100" s="113" t="s">
        <v>398</v>
      </c>
      <c r="D100" s="22" t="s">
        <v>324</v>
      </c>
      <c r="E100" s="111" t="s">
        <v>504</v>
      </c>
      <c r="F100" s="111" t="s">
        <v>61</v>
      </c>
      <c r="G100" s="111" t="s">
        <v>61</v>
      </c>
      <c r="H100" s="113" t="s">
        <v>398</v>
      </c>
      <c r="I100" s="111" t="s">
        <v>185</v>
      </c>
      <c r="J100" s="118">
        <f>3012614/[1]Sheet1!$T$370</f>
        <v>446226.1790771503</v>
      </c>
      <c r="K100" s="111"/>
      <c r="L100" s="111"/>
      <c r="M100" s="111"/>
      <c r="N100" s="111"/>
    </row>
    <row r="101" spans="2:14" s="26" customFormat="1" hidden="1" x14ac:dyDescent="0.35">
      <c r="B101" s="111" t="str">
        <f>VLOOKUP(C101,Companies[],3,FALSE)</f>
        <v>000124867-0</v>
      </c>
      <c r="C101" s="113" t="s">
        <v>394</v>
      </c>
      <c r="D101" s="111" t="s">
        <v>322</v>
      </c>
      <c r="E101" s="111" t="s">
        <v>508</v>
      </c>
      <c r="F101" s="111" t="s">
        <v>61</v>
      </c>
      <c r="G101" s="111" t="s">
        <v>61</v>
      </c>
      <c r="H101" s="113" t="s">
        <v>394</v>
      </c>
      <c r="I101" s="111" t="s">
        <v>185</v>
      </c>
      <c r="J101" s="118">
        <f>120277935/[1]Sheet1!$T$370</f>
        <v>17815479.634078525</v>
      </c>
      <c r="K101" s="111"/>
      <c r="L101" s="111"/>
      <c r="M101" s="111"/>
      <c r="N101" s="111"/>
    </row>
    <row r="102" spans="2:14" s="26" customFormat="1" hidden="1" x14ac:dyDescent="0.35">
      <c r="B102" s="111" t="str">
        <f>VLOOKUP(C102,Companies[],3,FALSE)</f>
        <v>000124867-0</v>
      </c>
      <c r="C102" s="113" t="s">
        <v>394</v>
      </c>
      <c r="D102" s="111" t="s">
        <v>322</v>
      </c>
      <c r="E102" s="111" t="s">
        <v>498</v>
      </c>
      <c r="F102" s="111" t="s">
        <v>61</v>
      </c>
      <c r="G102" s="111" t="s">
        <v>61</v>
      </c>
      <c r="H102" s="113" t="s">
        <v>394</v>
      </c>
      <c r="I102" s="111" t="s">
        <v>185</v>
      </c>
      <c r="J102" s="118">
        <f>14127212/[1]Sheet1!$T$370</f>
        <v>2092512.2938992074</v>
      </c>
      <c r="K102" s="111"/>
      <c r="L102" s="111"/>
      <c r="M102" s="111"/>
      <c r="N102" s="111"/>
    </row>
    <row r="103" spans="2:14" s="26" customFormat="1" hidden="1" x14ac:dyDescent="0.35">
      <c r="B103" s="111" t="str">
        <f>VLOOKUP(C103,Companies[],3,FALSE)</f>
        <v>000124867-0</v>
      </c>
      <c r="C103" s="113" t="s">
        <v>394</v>
      </c>
      <c r="D103" s="111" t="s">
        <v>322</v>
      </c>
      <c r="E103" s="111" t="s">
        <v>485</v>
      </c>
      <c r="F103" s="111" t="s">
        <v>61</v>
      </c>
      <c r="G103" s="111" t="s">
        <v>61</v>
      </c>
      <c r="H103" s="113" t="s">
        <v>394</v>
      </c>
      <c r="I103" s="111" t="s">
        <v>185</v>
      </c>
      <c r="J103" s="118">
        <f>1452173/[1]Sheet1!$T$370</f>
        <v>215094.80110927011</v>
      </c>
      <c r="K103" s="111"/>
      <c r="L103" s="111"/>
      <c r="M103" s="111"/>
      <c r="N103" s="111"/>
    </row>
    <row r="104" spans="2:14" s="26" customFormat="1" hidden="1" x14ac:dyDescent="0.35">
      <c r="B104" s="111" t="str">
        <f>VLOOKUP(C104,Companies[],3,FALSE)</f>
        <v>000124867-0</v>
      </c>
      <c r="C104" s="113" t="s">
        <v>394</v>
      </c>
      <c r="D104" s="111" t="s">
        <v>322</v>
      </c>
      <c r="E104" s="111" t="s">
        <v>484</v>
      </c>
      <c r="F104" s="111" t="s">
        <v>61</v>
      </c>
      <c r="G104" s="111" t="s">
        <v>61</v>
      </c>
      <c r="H104" s="113" t="s">
        <v>394</v>
      </c>
      <c r="I104" s="111" t="s">
        <v>185</v>
      </c>
      <c r="J104" s="118">
        <f>50734000/[1]Sheet1!$T$370</f>
        <v>7514682.9196505575</v>
      </c>
      <c r="K104" s="111"/>
      <c r="L104" s="111"/>
      <c r="M104" s="111"/>
      <c r="N104" s="111"/>
    </row>
    <row r="105" spans="2:14" s="26" customFormat="1" hidden="1" x14ac:dyDescent="0.35">
      <c r="B105" s="111" t="str">
        <f>VLOOKUP(C105,Companies[],3,FALSE)</f>
        <v>000124867-0</v>
      </c>
      <c r="C105" s="113" t="s">
        <v>394</v>
      </c>
      <c r="D105" s="111" t="s">
        <v>322</v>
      </c>
      <c r="E105" s="111" t="s">
        <v>492</v>
      </c>
      <c r="F105" s="111" t="s">
        <v>61</v>
      </c>
      <c r="G105" s="111" t="s">
        <v>61</v>
      </c>
      <c r="H105" s="113" t="s">
        <v>394</v>
      </c>
      <c r="I105" s="111" t="s">
        <v>185</v>
      </c>
      <c r="J105" s="118">
        <f>672/[1]Sheet1!$T$370</f>
        <v>99.536147790538394</v>
      </c>
      <c r="K105" s="111"/>
      <c r="L105" s="111"/>
      <c r="M105" s="111"/>
      <c r="N105" s="111"/>
    </row>
    <row r="106" spans="2:14" s="26" customFormat="1" hidden="1" x14ac:dyDescent="0.35">
      <c r="B106" s="111" t="str">
        <f>VLOOKUP(C106,Companies[],3,FALSE)</f>
        <v>000124867-0</v>
      </c>
      <c r="C106" s="113" t="s">
        <v>394</v>
      </c>
      <c r="D106" s="111" t="s">
        <v>322</v>
      </c>
      <c r="E106" s="111" t="s">
        <v>495</v>
      </c>
      <c r="F106" s="111" t="s">
        <v>61</v>
      </c>
      <c r="G106" s="111" t="s">
        <v>61</v>
      </c>
      <c r="H106" s="113" t="s">
        <v>394</v>
      </c>
      <c r="I106" s="111" t="s">
        <v>185</v>
      </c>
      <c r="J106" s="118">
        <f>2563/[1]Sheet1!$T$370</f>
        <v>379.62968271897307</v>
      </c>
      <c r="K106" s="111"/>
      <c r="L106" s="111"/>
      <c r="M106" s="111"/>
      <c r="N106" s="111"/>
    </row>
    <row r="107" spans="2:14" s="26" customFormat="1" hidden="1" x14ac:dyDescent="0.35">
      <c r="B107" s="111" t="str">
        <f>VLOOKUP(C107,Companies[],3,FALSE)</f>
        <v>000124867-0</v>
      </c>
      <c r="C107" s="113" t="s">
        <v>394</v>
      </c>
      <c r="D107" s="22" t="s">
        <v>324</v>
      </c>
      <c r="E107" s="111" t="s">
        <v>493</v>
      </c>
      <c r="F107" s="111" t="s">
        <v>61</v>
      </c>
      <c r="G107" s="111" t="s">
        <v>61</v>
      </c>
      <c r="H107" s="113" t="s">
        <v>394</v>
      </c>
      <c r="I107" s="111" t="s">
        <v>185</v>
      </c>
      <c r="J107" s="118">
        <f>39748/[1]Sheet1!$T$370</f>
        <v>5887.4446463963095</v>
      </c>
      <c r="K107" s="111"/>
      <c r="L107" s="111"/>
      <c r="M107" s="111"/>
      <c r="N107" s="111"/>
    </row>
    <row r="108" spans="2:14" s="26" customFormat="1" hidden="1" x14ac:dyDescent="0.35">
      <c r="B108" s="111" t="str">
        <f>VLOOKUP(C108,Companies[],3,FALSE)</f>
        <v>000124867-0</v>
      </c>
      <c r="C108" s="113" t="s">
        <v>394</v>
      </c>
      <c r="D108" s="22" t="s">
        <v>324</v>
      </c>
      <c r="E108" s="111" t="s">
        <v>482</v>
      </c>
      <c r="F108" s="111" t="s">
        <v>61</v>
      </c>
      <c r="G108" s="111" t="s">
        <v>61</v>
      </c>
      <c r="H108" s="113" t="s">
        <v>394</v>
      </c>
      <c r="I108" s="111" t="s">
        <v>185</v>
      </c>
      <c r="J108" s="118">
        <f>112955/[1]Sheet1!$T$370</f>
        <v>16730.811865595631</v>
      </c>
      <c r="K108" s="111"/>
      <c r="L108" s="111"/>
      <c r="M108" s="111"/>
      <c r="N108" s="111"/>
    </row>
    <row r="109" spans="2:14" s="26" customFormat="1" hidden="1" x14ac:dyDescent="0.35">
      <c r="B109" s="111" t="str">
        <f>VLOOKUP(C109,Companies[],3,FALSE)</f>
        <v>000124867-0</v>
      </c>
      <c r="C109" s="113" t="s">
        <v>394</v>
      </c>
      <c r="D109" s="22" t="s">
        <v>324</v>
      </c>
      <c r="E109" s="111" t="s">
        <v>500</v>
      </c>
      <c r="F109" s="111" t="s">
        <v>61</v>
      </c>
      <c r="G109" s="111" t="s">
        <v>61</v>
      </c>
      <c r="H109" s="113" t="s">
        <v>394</v>
      </c>
      <c r="I109" s="111" t="s">
        <v>185</v>
      </c>
      <c r="J109" s="118">
        <f>205314344/[1]Sheet1!$T$370</f>
        <v>30411010.249853332</v>
      </c>
      <c r="K109" s="111"/>
      <c r="L109" s="111"/>
      <c r="M109" s="111"/>
      <c r="N109" s="111"/>
    </row>
    <row r="110" spans="2:14" s="26" customFormat="1" hidden="1" x14ac:dyDescent="0.35">
      <c r="B110" s="111" t="str">
        <f>VLOOKUP(C110,Companies[],3,FALSE)</f>
        <v>000124867-0</v>
      </c>
      <c r="C110" s="113" t="s">
        <v>394</v>
      </c>
      <c r="D110" s="22" t="s">
        <v>324</v>
      </c>
      <c r="E110" s="111" t="s">
        <v>480</v>
      </c>
      <c r="F110" s="111" t="s">
        <v>61</v>
      </c>
      <c r="G110" s="111" t="s">
        <v>61</v>
      </c>
      <c r="H110" s="113" t="s">
        <v>394</v>
      </c>
      <c r="I110" s="111" t="s">
        <v>185</v>
      </c>
      <c r="J110" s="118">
        <f>3225240/[1]Sheet1!$T$370</f>
        <v>477720.18645826791</v>
      </c>
      <c r="K110" s="111"/>
      <c r="L110" s="111"/>
      <c r="M110" s="111"/>
      <c r="N110" s="111"/>
    </row>
    <row r="111" spans="2:14" s="26" customFormat="1" hidden="1" x14ac:dyDescent="0.35">
      <c r="B111" s="111" t="str">
        <f>VLOOKUP(C111,Companies[],3,FALSE)</f>
        <v>000124867-0</v>
      </c>
      <c r="C111" s="113" t="s">
        <v>394</v>
      </c>
      <c r="D111" s="22" t="s">
        <v>324</v>
      </c>
      <c r="E111" s="111" t="s">
        <v>510</v>
      </c>
      <c r="F111" s="111" t="s">
        <v>61</v>
      </c>
      <c r="G111" s="111" t="s">
        <v>61</v>
      </c>
      <c r="H111" s="113" t="s">
        <v>394</v>
      </c>
      <c r="I111" s="111" t="s">
        <v>185</v>
      </c>
      <c r="J111" s="118">
        <f>201867/[1]Sheet1!$T$370</f>
        <v>29900.392181596151</v>
      </c>
      <c r="K111" s="111"/>
      <c r="L111" s="111"/>
      <c r="M111" s="111"/>
      <c r="N111" s="111"/>
    </row>
    <row r="112" spans="2:14" s="26" customFormat="1" hidden="1" x14ac:dyDescent="0.35">
      <c r="B112" s="111" t="str">
        <f>VLOOKUP(C112,Companies[],3,FALSE)</f>
        <v>000124867-0</v>
      </c>
      <c r="C112" s="113" t="s">
        <v>394</v>
      </c>
      <c r="D112" s="22" t="s">
        <v>324</v>
      </c>
      <c r="E112" s="111" t="s">
        <v>504</v>
      </c>
      <c r="F112" s="111" t="s">
        <v>61</v>
      </c>
      <c r="G112" s="111" t="s">
        <v>61</v>
      </c>
      <c r="H112" s="113" t="s">
        <v>394</v>
      </c>
      <c r="I112" s="111" t="s">
        <v>185</v>
      </c>
      <c r="J112" s="118">
        <f>2152839/[1]Sheet1!$T$370</f>
        <v>318876.93582326616</v>
      </c>
      <c r="K112" s="111"/>
      <c r="L112" s="111"/>
      <c r="M112" s="111"/>
      <c r="N112" s="111"/>
    </row>
    <row r="113" spans="2:14" s="26" customFormat="1" hidden="1" x14ac:dyDescent="0.35">
      <c r="B113" s="111" t="str">
        <f>VLOOKUP(C113,Companies[],3,FALSE)</f>
        <v>000112379-5</v>
      </c>
      <c r="C113" s="114" t="s">
        <v>396</v>
      </c>
      <c r="D113" s="111" t="s">
        <v>322</v>
      </c>
      <c r="E113" s="111" t="s">
        <v>498</v>
      </c>
      <c r="F113" s="111" t="s">
        <v>61</v>
      </c>
      <c r="G113" s="111" t="s">
        <v>61</v>
      </c>
      <c r="H113" s="114" t="s">
        <v>396</v>
      </c>
      <c r="I113" s="111" t="s">
        <v>185</v>
      </c>
      <c r="J113" s="118">
        <f>206451723/[1]Sheet1!$T$370</f>
        <v>30579477.994254902</v>
      </c>
      <c r="K113" s="111"/>
      <c r="L113" s="111"/>
      <c r="M113" s="111"/>
      <c r="N113" s="111"/>
    </row>
    <row r="114" spans="2:14" s="26" customFormat="1" hidden="1" x14ac:dyDescent="0.35">
      <c r="B114" s="111" t="str">
        <f>VLOOKUP(C114,Companies[],3,FALSE)</f>
        <v>000112379-5</v>
      </c>
      <c r="C114" s="114" t="s">
        <v>396</v>
      </c>
      <c r="D114" s="111" t="s">
        <v>322</v>
      </c>
      <c r="E114" s="111" t="s">
        <v>512</v>
      </c>
      <c r="F114" s="111" t="s">
        <v>61</v>
      </c>
      <c r="G114" s="111" t="s">
        <v>61</v>
      </c>
      <c r="H114" s="114" t="s">
        <v>396</v>
      </c>
      <c r="I114" s="111" t="s">
        <v>185</v>
      </c>
      <c r="J114" s="118">
        <f>17642309/[1]Sheet1!$T$370</f>
        <v>2613165.8868903951</v>
      </c>
      <c r="K114" s="111"/>
      <c r="L114" s="111"/>
      <c r="M114" s="111"/>
      <c r="N114" s="111"/>
    </row>
    <row r="115" spans="2:14" s="26" customFormat="1" hidden="1" x14ac:dyDescent="0.35">
      <c r="B115" s="111" t="str">
        <f>VLOOKUP(C115,Companies[],3,FALSE)</f>
        <v>000112379-5</v>
      </c>
      <c r="C115" s="114" t="s">
        <v>396</v>
      </c>
      <c r="D115" s="111" t="s">
        <v>322</v>
      </c>
      <c r="E115" s="111" t="s">
        <v>488</v>
      </c>
      <c r="F115" s="111" t="s">
        <v>61</v>
      </c>
      <c r="G115" s="111" t="s">
        <v>61</v>
      </c>
      <c r="H115" s="114" t="s">
        <v>396</v>
      </c>
      <c r="I115" s="111" t="s">
        <v>185</v>
      </c>
      <c r="J115" s="118">
        <f>3360005/[1]Sheet1!$T$370</f>
        <v>497681.47954902967</v>
      </c>
      <c r="K115" s="111"/>
      <c r="L115" s="111"/>
      <c r="M115" s="111"/>
      <c r="N115" s="111"/>
    </row>
    <row r="116" spans="2:14" s="26" customFormat="1" hidden="1" x14ac:dyDescent="0.35">
      <c r="B116" s="111" t="str">
        <f>VLOOKUP(C116,Companies[],3,FALSE)</f>
        <v>000112379-5</v>
      </c>
      <c r="C116" s="114" t="s">
        <v>396</v>
      </c>
      <c r="D116" s="111" t="s">
        <v>322</v>
      </c>
      <c r="E116" s="111" t="s">
        <v>515</v>
      </c>
      <c r="F116" s="111" t="s">
        <v>61</v>
      </c>
      <c r="G116" s="111" t="s">
        <v>61</v>
      </c>
      <c r="H116" s="114" t="s">
        <v>396</v>
      </c>
      <c r="I116" s="111" t="s">
        <v>185</v>
      </c>
      <c r="J116" s="118">
        <f>27048650/[1]Sheet1!$T$370</f>
        <v>4006426.2260930748</v>
      </c>
      <c r="K116" s="111"/>
      <c r="L116" s="111"/>
      <c r="M116" s="111"/>
      <c r="N116" s="111"/>
    </row>
    <row r="117" spans="2:14" s="26" customFormat="1" hidden="1" x14ac:dyDescent="0.35">
      <c r="B117" s="111" t="str">
        <f>VLOOKUP(C117,Companies[],3,FALSE)</f>
        <v>000112379-5</v>
      </c>
      <c r="C117" s="114" t="s">
        <v>396</v>
      </c>
      <c r="D117" s="111" t="s">
        <v>324</v>
      </c>
      <c r="E117" s="111" t="s">
        <v>497</v>
      </c>
      <c r="F117" s="111" t="s">
        <v>61</v>
      </c>
      <c r="G117" s="111" t="s">
        <v>61</v>
      </c>
      <c r="H117" s="114" t="s">
        <v>396</v>
      </c>
      <c r="I117" s="111" t="s">
        <v>185</v>
      </c>
      <c r="J117" s="118">
        <f>8895135/[1]Sheet1!$T$370</f>
        <v>1317540.8809178432</v>
      </c>
      <c r="K117" s="111"/>
      <c r="L117" s="111"/>
      <c r="M117" s="111"/>
      <c r="N117" s="111"/>
    </row>
    <row r="118" spans="2:14" s="26" customFormat="1" hidden="1" x14ac:dyDescent="0.35">
      <c r="B118" s="111" t="str">
        <f>VLOOKUP(C118,Companies[],3,FALSE)</f>
        <v>000112379-5</v>
      </c>
      <c r="C118" s="114" t="s">
        <v>396</v>
      </c>
      <c r="D118" s="22" t="s">
        <v>324</v>
      </c>
      <c r="E118" s="111" t="s">
        <v>506</v>
      </c>
      <c r="F118" s="111" t="s">
        <v>61</v>
      </c>
      <c r="G118" s="111" t="s">
        <v>61</v>
      </c>
      <c r="H118" s="114" t="s">
        <v>396</v>
      </c>
      <c r="I118" s="111" t="s">
        <v>185</v>
      </c>
      <c r="J118" s="118">
        <f>116466036/[1]Sheet1!$T$370</f>
        <v>17250863.946241315</v>
      </c>
      <c r="K118" s="111"/>
      <c r="L118" s="111"/>
      <c r="M118" s="111"/>
      <c r="N118" s="111"/>
    </row>
    <row r="119" spans="2:14" s="26" customFormat="1" hidden="1" x14ac:dyDescent="0.35">
      <c r="B119" s="111" t="str">
        <f>VLOOKUP(C119,Companies[],3,FALSE)</f>
        <v>000112379-5</v>
      </c>
      <c r="C119" s="114" t="s">
        <v>396</v>
      </c>
      <c r="D119" s="22" t="s">
        <v>324</v>
      </c>
      <c r="E119" s="111" t="s">
        <v>493</v>
      </c>
      <c r="F119" s="111" t="s">
        <v>61</v>
      </c>
      <c r="G119" s="111" t="s">
        <v>61</v>
      </c>
      <c r="H119" s="114" t="s">
        <v>396</v>
      </c>
      <c r="I119" s="111" t="s">
        <v>185</v>
      </c>
      <c r="J119" s="118">
        <f>4605503/[1]Sheet1!$T$370</f>
        <v>682163.73103834514</v>
      </c>
      <c r="K119" s="111"/>
      <c r="L119" s="111"/>
      <c r="M119" s="111"/>
      <c r="N119" s="111"/>
    </row>
    <row r="120" spans="2:14" s="26" customFormat="1" hidden="1" x14ac:dyDescent="0.35">
      <c r="B120" s="111" t="str">
        <f>VLOOKUP(C120,Companies[],3,FALSE)</f>
        <v>000112379-5</v>
      </c>
      <c r="C120" s="114" t="s">
        <v>396</v>
      </c>
      <c r="D120" s="22" t="s">
        <v>324</v>
      </c>
      <c r="E120" s="111" t="s">
        <v>482</v>
      </c>
      <c r="F120" s="111" t="s">
        <v>61</v>
      </c>
      <c r="G120" s="111" t="s">
        <v>61</v>
      </c>
      <c r="H120" s="114" t="s">
        <v>396</v>
      </c>
      <c r="I120" s="111" t="s">
        <v>185</v>
      </c>
      <c r="J120" s="118">
        <v>0</v>
      </c>
      <c r="K120" s="111"/>
      <c r="L120" s="111"/>
      <c r="M120" s="111"/>
      <c r="N120" s="111"/>
    </row>
    <row r="121" spans="2:14" s="26" customFormat="1" hidden="1" x14ac:dyDescent="0.35">
      <c r="B121" s="111" t="str">
        <f>VLOOKUP(C121,Companies[],3,FALSE)</f>
        <v>000112379-5</v>
      </c>
      <c r="C121" s="114" t="s">
        <v>396</v>
      </c>
      <c r="D121" s="22" t="s">
        <v>324</v>
      </c>
      <c r="E121" s="111" t="s">
        <v>496</v>
      </c>
      <c r="F121" s="111" t="s">
        <v>61</v>
      </c>
      <c r="G121" s="111" t="s">
        <v>61</v>
      </c>
      <c r="H121" s="114" t="s">
        <v>396</v>
      </c>
      <c r="I121" s="111" t="s">
        <v>185</v>
      </c>
      <c r="J121" s="118">
        <v>0</v>
      </c>
      <c r="K121" s="111"/>
      <c r="L121" s="111"/>
      <c r="M121" s="111"/>
      <c r="N121" s="111"/>
    </row>
    <row r="122" spans="2:14" s="26" customFormat="1" hidden="1" x14ac:dyDescent="0.35">
      <c r="B122" s="111" t="str">
        <f>VLOOKUP(C122,Companies[],3,FALSE)</f>
        <v>000112379-5</v>
      </c>
      <c r="C122" s="114" t="s">
        <v>396</v>
      </c>
      <c r="D122" s="22" t="s">
        <v>324</v>
      </c>
      <c r="E122" s="111" t="s">
        <v>510</v>
      </c>
      <c r="F122" s="111" t="s">
        <v>61</v>
      </c>
      <c r="G122" s="111" t="s">
        <v>61</v>
      </c>
      <c r="H122" s="114" t="s">
        <v>396</v>
      </c>
      <c r="I122" s="111" t="s">
        <v>185</v>
      </c>
      <c r="J122" s="118">
        <f>1826885/[1]Sheet1!$T$370</f>
        <v>270596.8680897585</v>
      </c>
      <c r="K122" s="111"/>
      <c r="L122" s="111"/>
      <c r="M122" s="111"/>
      <c r="N122" s="111"/>
    </row>
    <row r="123" spans="2:14" s="26" customFormat="1" hidden="1" x14ac:dyDescent="0.35">
      <c r="B123" s="111" t="str">
        <f>VLOOKUP(C123,Companies[],3,FALSE)</f>
        <v>000112379-5</v>
      </c>
      <c r="C123" s="114" t="s">
        <v>396</v>
      </c>
      <c r="D123" s="22" t="s">
        <v>324</v>
      </c>
      <c r="E123" s="111" t="s">
        <v>504</v>
      </c>
      <c r="F123" s="111" t="s">
        <v>61</v>
      </c>
      <c r="G123" s="111" t="s">
        <v>61</v>
      </c>
      <c r="H123" s="114" t="s">
        <v>396</v>
      </c>
      <c r="I123" s="111" t="s">
        <v>185</v>
      </c>
      <c r="J123" s="118">
        <f>1826885/[1]Sheet1!$T$370</f>
        <v>270596.8680897585</v>
      </c>
      <c r="K123" s="111"/>
      <c r="L123" s="111"/>
      <c r="M123" s="111"/>
      <c r="N123" s="111"/>
    </row>
    <row r="124" spans="2:14" s="26" customFormat="1" hidden="1" x14ac:dyDescent="0.35">
      <c r="B124" s="111" t="str">
        <f>VLOOKUP(C124,Companies[],3,FALSE)</f>
        <v>000112379-5</v>
      </c>
      <c r="C124" s="114" t="s">
        <v>396</v>
      </c>
      <c r="D124" s="22" t="s">
        <v>324</v>
      </c>
      <c r="E124" s="111" t="s">
        <v>507</v>
      </c>
      <c r="F124" s="111" t="s">
        <v>61</v>
      </c>
      <c r="G124" s="111" t="s">
        <v>61</v>
      </c>
      <c r="H124" s="114" t="s">
        <v>396</v>
      </c>
      <c r="I124" s="111" t="s">
        <v>185</v>
      </c>
      <c r="J124" s="118">
        <f>548166/[1]Sheet1!$T$370</f>
        <v>81193.946413315876</v>
      </c>
      <c r="K124" s="111"/>
      <c r="L124" s="111"/>
      <c r="M124" s="111"/>
      <c r="N124" s="111"/>
    </row>
    <row r="125" spans="2:14" s="26" customFormat="1" hidden="1" x14ac:dyDescent="0.35">
      <c r="B125" s="111" t="str">
        <f>VLOOKUP(C125,Companies[],3,FALSE)</f>
        <v>000122055-9</v>
      </c>
      <c r="C125" s="114" t="s">
        <v>400</v>
      </c>
      <c r="D125" s="111" t="s">
        <v>322</v>
      </c>
      <c r="E125" s="111" t="s">
        <v>488</v>
      </c>
      <c r="F125" s="111" t="s">
        <v>61</v>
      </c>
      <c r="G125" s="111" t="s">
        <v>61</v>
      </c>
      <c r="H125" s="114" t="s">
        <v>400</v>
      </c>
      <c r="I125" s="111" t="s">
        <v>185</v>
      </c>
      <c r="J125" s="118">
        <f>131698/[1]Sheet1!$T$370</f>
        <v>19507.011297199886</v>
      </c>
      <c r="K125" s="111"/>
      <c r="L125" s="111"/>
      <c r="M125" s="111"/>
      <c r="N125" s="111"/>
    </row>
    <row r="126" spans="2:14" s="26" customFormat="1" hidden="1" x14ac:dyDescent="0.35">
      <c r="B126" s="111" t="str">
        <f>VLOOKUP(C126,Companies[],3,FALSE)</f>
        <v>000122055-9</v>
      </c>
      <c r="C126" s="114" t="s">
        <v>400</v>
      </c>
      <c r="D126" s="22" t="s">
        <v>324</v>
      </c>
      <c r="E126" s="111" t="s">
        <v>493</v>
      </c>
      <c r="F126" s="111" t="s">
        <v>61</v>
      </c>
      <c r="G126" s="111" t="s">
        <v>61</v>
      </c>
      <c r="H126" s="114" t="s">
        <v>400</v>
      </c>
      <c r="I126" s="111" t="s">
        <v>185</v>
      </c>
      <c r="J126" s="118">
        <f>36346/[1]Sheet1!$T$370</f>
        <v>5383.5428982067087</v>
      </c>
      <c r="K126" s="111"/>
      <c r="L126" s="111"/>
      <c r="M126" s="111"/>
      <c r="N126" s="111"/>
    </row>
    <row r="127" spans="2:14" s="26" customFormat="1" hidden="1" x14ac:dyDescent="0.35">
      <c r="B127" s="111" t="str">
        <f>VLOOKUP(C127,Companies[],3,FALSE)</f>
        <v>000122055-9</v>
      </c>
      <c r="C127" s="114" t="s">
        <v>400</v>
      </c>
      <c r="D127" s="22" t="s">
        <v>324</v>
      </c>
      <c r="E127" s="111" t="s">
        <v>482</v>
      </c>
      <c r="F127" s="111" t="s">
        <v>61</v>
      </c>
      <c r="G127" s="111" t="s">
        <v>61</v>
      </c>
      <c r="H127" s="114" t="s">
        <v>400</v>
      </c>
      <c r="I127" s="111" t="s">
        <v>185</v>
      </c>
      <c r="J127" s="118">
        <f>36265/[1]Sheet1!$T$370</f>
        <v>5371.545237535528</v>
      </c>
      <c r="K127" s="111"/>
      <c r="L127" s="111"/>
      <c r="M127" s="111"/>
      <c r="N127" s="111"/>
    </row>
    <row r="128" spans="2:14" s="26" customFormat="1" hidden="1" x14ac:dyDescent="0.35">
      <c r="B128" s="111" t="str">
        <f>VLOOKUP(C128,Companies[],3,FALSE)</f>
        <v>000122055-9</v>
      </c>
      <c r="C128" s="114" t="s">
        <v>400</v>
      </c>
      <c r="D128" s="22" t="s">
        <v>324</v>
      </c>
      <c r="E128" s="111" t="s">
        <v>500</v>
      </c>
      <c r="F128" s="111" t="s">
        <v>61</v>
      </c>
      <c r="G128" s="111" t="s">
        <v>61</v>
      </c>
      <c r="H128" s="114" t="s">
        <v>400</v>
      </c>
      <c r="I128" s="111" t="s">
        <v>185</v>
      </c>
      <c r="J128" s="118">
        <f>6679826/[1]Sheet1!$T$370</f>
        <v>989410.93445101322</v>
      </c>
      <c r="K128" s="111"/>
      <c r="L128" s="111"/>
      <c r="M128" s="111"/>
      <c r="N128" s="111"/>
    </row>
    <row r="129" spans="2:14" s="26" customFormat="1" hidden="1" x14ac:dyDescent="0.35">
      <c r="B129" s="111" t="str">
        <f>VLOOKUP(C129,Companies[],3,FALSE)</f>
        <v>000122055-9</v>
      </c>
      <c r="C129" s="114" t="s">
        <v>400</v>
      </c>
      <c r="D129" s="22" t="s">
        <v>324</v>
      </c>
      <c r="E129" s="111" t="s">
        <v>480</v>
      </c>
      <c r="F129" s="111" t="s">
        <v>61</v>
      </c>
      <c r="G129" s="111" t="s">
        <v>61</v>
      </c>
      <c r="H129" s="114" t="s">
        <v>400</v>
      </c>
      <c r="I129" s="111" t="s">
        <v>185</v>
      </c>
      <c r="J129" s="118">
        <f>3627380/[1]Sheet1!$T$370</f>
        <v>537284.86870899273</v>
      </c>
      <c r="K129" s="111"/>
      <c r="L129" s="111"/>
      <c r="M129" s="111"/>
      <c r="N129" s="111"/>
    </row>
    <row r="130" spans="2:14" s="26" customFormat="1" hidden="1" x14ac:dyDescent="0.35">
      <c r="B130" s="111" t="str">
        <f>VLOOKUP(C130,Companies[],3,FALSE)</f>
        <v>000122055-9</v>
      </c>
      <c r="C130" s="114" t="s">
        <v>400</v>
      </c>
      <c r="D130" s="22" t="s">
        <v>324</v>
      </c>
      <c r="E130" s="111" t="s">
        <v>510</v>
      </c>
      <c r="F130" s="111" t="s">
        <v>61</v>
      </c>
      <c r="G130" s="111" t="s">
        <v>61</v>
      </c>
      <c r="H130" s="114" t="s">
        <v>400</v>
      </c>
      <c r="I130" s="111" t="s">
        <v>185</v>
      </c>
      <c r="J130" s="118">
        <f>2267113/[1]Sheet1!$T$370</f>
        <v>335803.11700275424</v>
      </c>
      <c r="K130" s="111"/>
      <c r="L130" s="111"/>
      <c r="M130" s="111"/>
      <c r="N130" s="111"/>
    </row>
    <row r="131" spans="2:14" s="26" customFormat="1" hidden="1" x14ac:dyDescent="0.35">
      <c r="B131" s="111" t="str">
        <f>VLOOKUP(C131,Companies[],3,FALSE)</f>
        <v>000122055-9</v>
      </c>
      <c r="C131" s="114" t="s">
        <v>400</v>
      </c>
      <c r="D131" s="22" t="s">
        <v>324</v>
      </c>
      <c r="E131" s="111" t="s">
        <v>504</v>
      </c>
      <c r="F131" s="111" t="s">
        <v>61</v>
      </c>
      <c r="G131" s="111" t="s">
        <v>61</v>
      </c>
      <c r="H131" s="114" t="s">
        <v>400</v>
      </c>
      <c r="I131" s="111" t="s">
        <v>185</v>
      </c>
      <c r="J131" s="118">
        <f>2267113/[1]Sheet1!$T$370</f>
        <v>335803.11700275424</v>
      </c>
      <c r="K131" s="111"/>
      <c r="L131" s="111"/>
      <c r="M131" s="111"/>
      <c r="N131" s="111"/>
    </row>
    <row r="132" spans="2:14" s="26" customFormat="1" hidden="1" x14ac:dyDescent="0.35">
      <c r="B132" s="111" t="str">
        <f>VLOOKUP(C132,Companies[],3,FALSE)</f>
        <v>000122055-9</v>
      </c>
      <c r="C132" s="114" t="s">
        <v>400</v>
      </c>
      <c r="D132" s="22" t="s">
        <v>324</v>
      </c>
      <c r="E132" s="111" t="s">
        <v>507</v>
      </c>
      <c r="F132" s="111" t="s">
        <v>61</v>
      </c>
      <c r="G132" s="111" t="s">
        <v>61</v>
      </c>
      <c r="H132" s="114" t="s">
        <v>400</v>
      </c>
      <c r="I132" s="111" t="s">
        <v>185</v>
      </c>
      <c r="J132" s="118">
        <f>101031/[1]Sheet1!$T$370</f>
        <v>14964.637719383756</v>
      </c>
      <c r="K132" s="111"/>
      <c r="L132" s="111"/>
      <c r="M132" s="111"/>
      <c r="N132" s="111"/>
    </row>
    <row r="133" spans="2:14" s="26" customFormat="1" hidden="1" x14ac:dyDescent="0.35">
      <c r="B133" s="111" t="str">
        <f>VLOOKUP(C133,Companies[],3,FALSE)</f>
        <v>000170013-4</v>
      </c>
      <c r="C133" s="114" t="s">
        <v>419</v>
      </c>
      <c r="D133" s="111" t="s">
        <v>322</v>
      </c>
      <c r="E133" s="111" t="s">
        <v>508</v>
      </c>
      <c r="F133" s="111" t="s">
        <v>61</v>
      </c>
      <c r="G133" s="111" t="s">
        <v>61</v>
      </c>
      <c r="H133" s="114" t="s">
        <v>419</v>
      </c>
      <c r="I133" s="111" t="s">
        <v>185</v>
      </c>
      <c r="J133" s="118">
        <f>2415495/[1]Sheet1!$T$370</f>
        <v>357781.35015968233</v>
      </c>
      <c r="K133" s="111"/>
      <c r="L133" s="111"/>
      <c r="M133" s="111"/>
      <c r="N133" s="111"/>
    </row>
    <row r="134" spans="2:14" s="26" customFormat="1" hidden="1" x14ac:dyDescent="0.35">
      <c r="B134" s="111" t="str">
        <f>VLOOKUP(C134,Companies[],3,FALSE)</f>
        <v>000170013-4</v>
      </c>
      <c r="C134" s="114" t="s">
        <v>419</v>
      </c>
      <c r="D134" s="111" t="s">
        <v>322</v>
      </c>
      <c r="E134" s="111" t="s">
        <v>488</v>
      </c>
      <c r="F134" s="111" t="s">
        <v>61</v>
      </c>
      <c r="G134" s="111" t="s">
        <v>61</v>
      </c>
      <c r="H134" s="114" t="s">
        <v>419</v>
      </c>
      <c r="I134" s="111" t="s">
        <v>185</v>
      </c>
      <c r="J134" s="118">
        <f>47000/[1]Sheet1!$T$370</f>
        <v>6961.6055746358697</v>
      </c>
      <c r="K134" s="111"/>
      <c r="L134" s="111"/>
      <c r="M134" s="111"/>
      <c r="N134" s="111"/>
    </row>
    <row r="135" spans="2:14" s="26" customFormat="1" hidden="1" x14ac:dyDescent="0.35">
      <c r="B135" s="111" t="str">
        <f>VLOOKUP(C135,Companies[],3,FALSE)</f>
        <v>000170013-4</v>
      </c>
      <c r="C135" s="114" t="s">
        <v>419</v>
      </c>
      <c r="D135" s="22" t="s">
        <v>324</v>
      </c>
      <c r="E135" s="111" t="s">
        <v>506</v>
      </c>
      <c r="F135" s="111" t="s">
        <v>61</v>
      </c>
      <c r="G135" s="111" t="s">
        <v>61</v>
      </c>
      <c r="H135" s="114" t="s">
        <v>419</v>
      </c>
      <c r="I135" s="111" t="s">
        <v>185</v>
      </c>
      <c r="J135" s="118">
        <f>669806/[1]Sheet1!$T$370</f>
        <v>99211.174117543676</v>
      </c>
      <c r="K135" s="111"/>
      <c r="L135" s="111"/>
      <c r="M135" s="111"/>
      <c r="N135" s="111"/>
    </row>
    <row r="136" spans="2:14" s="26" customFormat="1" hidden="1" x14ac:dyDescent="0.35">
      <c r="B136" s="111" t="str">
        <f>VLOOKUP(C136,Companies[],3,FALSE)</f>
        <v>000170013-4</v>
      </c>
      <c r="C136" s="114" t="s">
        <v>419</v>
      </c>
      <c r="D136" s="22" t="s">
        <v>324</v>
      </c>
      <c r="E136" s="111" t="s">
        <v>493</v>
      </c>
      <c r="F136" s="111" t="s">
        <v>61</v>
      </c>
      <c r="G136" s="111" t="s">
        <v>61</v>
      </c>
      <c r="H136" s="114" t="s">
        <v>419</v>
      </c>
      <c r="I136" s="111" t="s">
        <v>185</v>
      </c>
      <c r="J136" s="118">
        <f>2760575/[1]Sheet1!$T$370</f>
        <v>408894.34700426413</v>
      </c>
      <c r="K136" s="111"/>
      <c r="L136" s="111"/>
      <c r="M136" s="111"/>
      <c r="N136" s="111"/>
    </row>
    <row r="137" spans="2:14" s="26" customFormat="1" hidden="1" x14ac:dyDescent="0.35">
      <c r="B137" s="111" t="str">
        <f>VLOOKUP(C137,Companies[],3,FALSE)</f>
        <v>000170013-4</v>
      </c>
      <c r="C137" s="114" t="s">
        <v>419</v>
      </c>
      <c r="D137" s="22" t="s">
        <v>324</v>
      </c>
      <c r="E137" s="111" t="s">
        <v>496</v>
      </c>
      <c r="F137" s="111" t="s">
        <v>61</v>
      </c>
      <c r="G137" s="111" t="s">
        <v>61</v>
      </c>
      <c r="H137" s="114" t="s">
        <v>419</v>
      </c>
      <c r="I137" s="111" t="s">
        <v>185</v>
      </c>
      <c r="J137" s="118">
        <f>46920/[1]Sheet1!$T$370</f>
        <v>6949.7560332322337</v>
      </c>
      <c r="K137" s="111"/>
      <c r="L137" s="111"/>
      <c r="M137" s="111"/>
      <c r="N137" s="111"/>
    </row>
    <row r="138" spans="2:14" s="26" customFormat="1" hidden="1" x14ac:dyDescent="0.35">
      <c r="B138" s="111" t="str">
        <f>VLOOKUP(C138,Companies[],3,FALSE)</f>
        <v>000170013-4</v>
      </c>
      <c r="C138" s="114" t="s">
        <v>419</v>
      </c>
      <c r="D138" s="22" t="s">
        <v>324</v>
      </c>
      <c r="E138" s="111" t="s">
        <v>477</v>
      </c>
      <c r="F138" s="111" t="s">
        <v>61</v>
      </c>
      <c r="G138" s="111" t="s">
        <v>61</v>
      </c>
      <c r="H138" s="114" t="s">
        <v>419</v>
      </c>
      <c r="I138" s="111" t="s">
        <v>185</v>
      </c>
      <c r="J138" s="118">
        <v>0</v>
      </c>
      <c r="K138" s="111"/>
      <c r="L138" s="111"/>
      <c r="M138" s="111"/>
      <c r="N138" s="111"/>
    </row>
    <row r="139" spans="2:14" s="26" customFormat="1" hidden="1" x14ac:dyDescent="0.35">
      <c r="B139" s="111" t="str">
        <f>VLOOKUP(C139,Companies[],3,FALSE)</f>
        <v>000170013-4</v>
      </c>
      <c r="C139" s="114" t="s">
        <v>419</v>
      </c>
      <c r="D139" s="22" t="s">
        <v>324</v>
      </c>
      <c r="E139" s="111" t="s">
        <v>510</v>
      </c>
      <c r="F139" s="111" t="s">
        <v>61</v>
      </c>
      <c r="G139" s="111" t="s">
        <v>61</v>
      </c>
      <c r="H139" s="114" t="s">
        <v>419</v>
      </c>
      <c r="I139" s="111" t="s">
        <v>185</v>
      </c>
      <c r="J139" s="118">
        <f>67825/[1]Sheet1!$T$370</f>
        <v>10046.189321269741</v>
      </c>
      <c r="K139" s="111"/>
      <c r="L139" s="111"/>
      <c r="M139" s="111"/>
      <c r="N139" s="111"/>
    </row>
    <row r="140" spans="2:14" s="26" customFormat="1" hidden="1" x14ac:dyDescent="0.35">
      <c r="B140" s="111" t="str">
        <f>VLOOKUP(C140,Companies[],3,FALSE)</f>
        <v>000170013-4</v>
      </c>
      <c r="C140" s="114" t="s">
        <v>419</v>
      </c>
      <c r="D140" s="22" t="s">
        <v>324</v>
      </c>
      <c r="E140" s="111" t="s">
        <v>504</v>
      </c>
      <c r="F140" s="111" t="s">
        <v>61</v>
      </c>
      <c r="G140" s="111" t="s">
        <v>61</v>
      </c>
      <c r="H140" s="114" t="s">
        <v>419</v>
      </c>
      <c r="I140" s="111" t="s">
        <v>185</v>
      </c>
      <c r="J140" s="118">
        <f>67825/[1]Sheet1!$T$370</f>
        <v>10046.189321269741</v>
      </c>
      <c r="K140" s="111"/>
      <c r="L140" s="111"/>
      <c r="M140" s="111"/>
      <c r="N140" s="111"/>
    </row>
    <row r="141" spans="2:14" s="26" customFormat="1" hidden="1" x14ac:dyDescent="0.35">
      <c r="B141" s="111" t="str">
        <f>VLOOKUP(C141,Companies[],3,FALSE)</f>
        <v>000170013-4</v>
      </c>
      <c r="C141" s="114" t="s">
        <v>419</v>
      </c>
      <c r="D141" s="22" t="s">
        <v>324</v>
      </c>
      <c r="E141" s="111" t="s">
        <v>507</v>
      </c>
      <c r="F141" s="111" t="s">
        <v>61</v>
      </c>
      <c r="G141" s="111" t="s">
        <v>61</v>
      </c>
      <c r="H141" s="114" t="s">
        <v>419</v>
      </c>
      <c r="I141" s="111" t="s">
        <v>185</v>
      </c>
      <c r="J141" s="118">
        <f>337070/[1]Sheet1!$T$370</f>
        <v>49926.561511542815</v>
      </c>
      <c r="K141" s="111"/>
      <c r="L141" s="111"/>
      <c r="M141" s="111"/>
      <c r="N141" s="111"/>
    </row>
    <row r="142" spans="2:14" s="26" customFormat="1" hidden="1" x14ac:dyDescent="0.35">
      <c r="B142" s="111" t="str">
        <f>VLOOKUP(C142,Companies[],3,FALSE)</f>
        <v>000170015-0</v>
      </c>
      <c r="C142" s="113" t="s">
        <v>421</v>
      </c>
      <c r="D142" s="111" t="s">
        <v>322</v>
      </c>
      <c r="E142" s="111" t="s">
        <v>508</v>
      </c>
      <c r="F142" s="111" t="s">
        <v>61</v>
      </c>
      <c r="G142" s="111" t="s">
        <v>61</v>
      </c>
      <c r="H142" s="113" t="s">
        <v>421</v>
      </c>
      <c r="I142" s="111" t="s">
        <v>185</v>
      </c>
      <c r="J142" s="118">
        <f>12555341/[1]Sheet1!$T$370</f>
        <v>1859687.9127032829</v>
      </c>
      <c r="K142" s="111"/>
      <c r="L142" s="111"/>
      <c r="M142" s="111"/>
      <c r="N142" s="111"/>
    </row>
    <row r="143" spans="2:14" s="26" customFormat="1" hidden="1" x14ac:dyDescent="0.35">
      <c r="B143" s="111" t="str">
        <f>VLOOKUP(C143,Companies[],3,FALSE)</f>
        <v>000170015-0</v>
      </c>
      <c r="C143" s="113" t="s">
        <v>421</v>
      </c>
      <c r="D143" s="111" t="s">
        <v>322</v>
      </c>
      <c r="E143" s="111" t="s">
        <v>512</v>
      </c>
      <c r="F143" s="111" t="s">
        <v>61</v>
      </c>
      <c r="G143" s="111" t="s">
        <v>61</v>
      </c>
      <c r="H143" s="113" t="s">
        <v>421</v>
      </c>
      <c r="I143" s="111" t="s">
        <v>185</v>
      </c>
      <c r="J143" s="118">
        <f>1351076/[1]Sheet1!$T$370</f>
        <v>200120.38751822835</v>
      </c>
      <c r="K143" s="111"/>
      <c r="L143" s="111"/>
      <c r="M143" s="111"/>
      <c r="N143" s="111"/>
    </row>
    <row r="144" spans="2:14" s="26" customFormat="1" hidden="1" x14ac:dyDescent="0.35">
      <c r="B144" s="111" t="str">
        <f>VLOOKUP(C144,Companies[],3,FALSE)</f>
        <v>000170015-0</v>
      </c>
      <c r="C144" s="113" t="s">
        <v>421</v>
      </c>
      <c r="D144" s="111" t="s">
        <v>322</v>
      </c>
      <c r="E144" s="111" t="s">
        <v>488</v>
      </c>
      <c r="F144" s="111" t="s">
        <v>61</v>
      </c>
      <c r="G144" s="111" t="s">
        <v>61</v>
      </c>
      <c r="H144" s="113" t="s">
        <v>421</v>
      </c>
      <c r="I144" s="111" t="s">
        <v>185</v>
      </c>
      <c r="J144" s="118">
        <f>340000/[1]Sheet1!$T$370</f>
        <v>50360.550965450973</v>
      </c>
      <c r="K144" s="111"/>
      <c r="L144" s="111"/>
      <c r="M144" s="111"/>
      <c r="N144" s="111"/>
    </row>
    <row r="145" spans="2:14" s="26" customFormat="1" x14ac:dyDescent="0.35">
      <c r="B145" s="111" t="str">
        <f>VLOOKUP(C145,Companies[],3,FALSE)</f>
        <v>000128062-5</v>
      </c>
      <c r="C145" s="114" t="s">
        <v>423</v>
      </c>
      <c r="D145" s="111" t="s">
        <v>322</v>
      </c>
      <c r="E145" s="111" t="s">
        <v>508</v>
      </c>
      <c r="F145" s="111" t="s">
        <v>61</v>
      </c>
      <c r="G145" s="111" t="s">
        <v>61</v>
      </c>
      <c r="H145" s="114" t="s">
        <v>423</v>
      </c>
      <c r="I145" s="111" t="s">
        <v>185</v>
      </c>
      <c r="J145" s="118">
        <f>109596575/[1]Sheet1!$T$370</f>
        <v>16233364.414489323</v>
      </c>
      <c r="K145" s="111"/>
      <c r="L145" s="111"/>
      <c r="M145" s="111"/>
      <c r="N145" s="111"/>
    </row>
    <row r="146" spans="2:14" s="26" customFormat="1" x14ac:dyDescent="0.35">
      <c r="B146" s="111" t="str">
        <f>VLOOKUP(C146,Companies[],3,FALSE)</f>
        <v>000128062-5</v>
      </c>
      <c r="C146" s="114" t="s">
        <v>423</v>
      </c>
      <c r="D146" s="111" t="s">
        <v>322</v>
      </c>
      <c r="E146" s="111" t="s">
        <v>498</v>
      </c>
      <c r="F146" s="111" t="s">
        <v>61</v>
      </c>
      <c r="G146" s="111" t="s">
        <v>61</v>
      </c>
      <c r="H146" s="114" t="s">
        <v>423</v>
      </c>
      <c r="I146" s="111" t="s">
        <v>185</v>
      </c>
      <c r="J146" s="118">
        <f>6889624/[1]Sheet1!$T$370</f>
        <v>1020486.0605435122</v>
      </c>
      <c r="K146" s="111"/>
      <c r="L146" s="111"/>
      <c r="M146" s="111"/>
      <c r="N146" s="111"/>
    </row>
    <row r="147" spans="2:14" s="26" customFormat="1" x14ac:dyDescent="0.35">
      <c r="B147" s="111" t="str">
        <f>VLOOKUP(C147,Companies[],3,FALSE)</f>
        <v>000128062-5</v>
      </c>
      <c r="C147" s="114" t="s">
        <v>423</v>
      </c>
      <c r="D147" s="111" t="s">
        <v>322</v>
      </c>
      <c r="E147" s="111" t="s">
        <v>512</v>
      </c>
      <c r="F147" s="111" t="s">
        <v>61</v>
      </c>
      <c r="G147" s="111" t="s">
        <v>61</v>
      </c>
      <c r="H147" s="114" t="s">
        <v>423</v>
      </c>
      <c r="I147" s="111" t="s">
        <v>185</v>
      </c>
      <c r="J147" s="118">
        <f>10611202/[1]Sheet1!$T$370</f>
        <v>1571723.4680167509</v>
      </c>
      <c r="K147" s="111"/>
      <c r="L147" s="111"/>
      <c r="M147" s="111"/>
      <c r="N147" s="111"/>
    </row>
    <row r="148" spans="2:14" s="26" customFormat="1" x14ac:dyDescent="0.35">
      <c r="B148" s="111" t="str">
        <f>VLOOKUP(C148,Companies[],3,FALSE)</f>
        <v>000128062-5</v>
      </c>
      <c r="C148" s="114" t="s">
        <v>423</v>
      </c>
      <c r="D148" s="111" t="s">
        <v>322</v>
      </c>
      <c r="E148" s="111" t="s">
        <v>488</v>
      </c>
      <c r="F148" s="111" t="s">
        <v>61</v>
      </c>
      <c r="G148" s="111" t="s">
        <v>61</v>
      </c>
      <c r="H148" s="114" t="s">
        <v>423</v>
      </c>
      <c r="I148" s="111" t="s">
        <v>185</v>
      </c>
      <c r="J148" s="118">
        <f>2277435/[1]Sheet1!$T$370</f>
        <v>337332.00408235833</v>
      </c>
      <c r="K148" s="111"/>
      <c r="L148" s="111"/>
      <c r="M148" s="111"/>
      <c r="N148" s="111"/>
    </row>
    <row r="149" spans="2:14" s="26" customFormat="1" x14ac:dyDescent="0.35">
      <c r="B149" s="111" t="str">
        <f>VLOOKUP(C149,Companies[],3,FALSE)</f>
        <v>000128062-5</v>
      </c>
      <c r="C149" s="114" t="s">
        <v>423</v>
      </c>
      <c r="D149" s="111" t="s">
        <v>322</v>
      </c>
      <c r="E149" s="111" t="s">
        <v>490</v>
      </c>
      <c r="F149" s="111" t="s">
        <v>61</v>
      </c>
      <c r="G149" s="111" t="s">
        <v>61</v>
      </c>
      <c r="H149" s="114" t="s">
        <v>423</v>
      </c>
      <c r="I149" s="111" t="s">
        <v>185</v>
      </c>
      <c r="J149" s="118">
        <f>309279/[1]Sheet1!$T$370</f>
        <v>45810.178947187385</v>
      </c>
      <c r="K149" s="111"/>
      <c r="L149" s="111"/>
      <c r="M149" s="111"/>
      <c r="N149" s="111"/>
    </row>
    <row r="150" spans="2:14" s="26" customFormat="1" x14ac:dyDescent="0.35">
      <c r="B150" s="111" t="str">
        <f>VLOOKUP(C150,Companies[],3,FALSE)</f>
        <v>000128062-5</v>
      </c>
      <c r="C150" s="114" t="s">
        <v>423</v>
      </c>
      <c r="D150" s="22" t="s">
        <v>324</v>
      </c>
      <c r="E150" s="111" t="s">
        <v>506</v>
      </c>
      <c r="F150" s="111" t="s">
        <v>61</v>
      </c>
      <c r="G150" s="111" t="s">
        <v>61</v>
      </c>
      <c r="H150" s="114" t="s">
        <v>423</v>
      </c>
      <c r="I150" s="111" t="s">
        <v>185</v>
      </c>
      <c r="J150" s="118">
        <f>151507168/[1]Sheet1!$T$370</f>
        <v>22441130.752044536</v>
      </c>
      <c r="K150" s="111"/>
      <c r="L150" s="111"/>
      <c r="M150" s="111"/>
      <c r="N150" s="111"/>
    </row>
    <row r="151" spans="2:14" s="26" customFormat="1" x14ac:dyDescent="0.35">
      <c r="B151" s="111" t="str">
        <f>VLOOKUP(C151,Companies[],3,FALSE)</f>
        <v>000128062-5</v>
      </c>
      <c r="C151" s="114" t="s">
        <v>423</v>
      </c>
      <c r="D151" s="22" t="s">
        <v>324</v>
      </c>
      <c r="E151" s="111" t="s">
        <v>497</v>
      </c>
      <c r="F151" s="111" t="s">
        <v>61</v>
      </c>
      <c r="G151" s="111" t="s">
        <v>61</v>
      </c>
      <c r="H151" s="114" t="s">
        <v>423</v>
      </c>
      <c r="I151" s="111" t="s">
        <v>185</v>
      </c>
      <c r="J151" s="118">
        <f>35389697/[1]Sheet1!$T$370</f>
        <v>5241895.9982951982</v>
      </c>
      <c r="K151" s="111"/>
      <c r="L151" s="111"/>
      <c r="M151" s="111"/>
      <c r="N151" s="111"/>
    </row>
    <row r="152" spans="2:14" s="26" customFormat="1" x14ac:dyDescent="0.35">
      <c r="B152" s="111" t="str">
        <f>VLOOKUP(C152,Companies[],3,FALSE)</f>
        <v>000128062-5</v>
      </c>
      <c r="C152" s="114" t="s">
        <v>423</v>
      </c>
      <c r="D152" s="22" t="s">
        <v>324</v>
      </c>
      <c r="E152" s="111" t="s">
        <v>496</v>
      </c>
      <c r="F152" s="111" t="s">
        <v>61</v>
      </c>
      <c r="G152" s="111" t="s">
        <v>61</v>
      </c>
      <c r="H152" s="114" t="s">
        <v>423</v>
      </c>
      <c r="I152" s="111" t="s">
        <v>185</v>
      </c>
      <c r="J152" s="118">
        <f>1707201/[1]Sheet1!$T$370</f>
        <v>252869.3616728496</v>
      </c>
      <c r="K152" s="111"/>
      <c r="L152" s="111"/>
      <c r="M152" s="111"/>
      <c r="N152" s="111"/>
    </row>
    <row r="153" spans="2:14" s="26" customFormat="1" hidden="1" x14ac:dyDescent="0.35">
      <c r="B153" s="111" t="str">
        <f>VLOOKUP(C153,Companies[],3,FALSE)</f>
        <v>000170033-8</v>
      </c>
      <c r="C153" s="114" t="s">
        <v>405</v>
      </c>
      <c r="D153" s="111" t="s">
        <v>322</v>
      </c>
      <c r="E153" s="111" t="s">
        <v>508</v>
      </c>
      <c r="F153" s="111" t="s">
        <v>61</v>
      </c>
      <c r="G153" s="111" t="s">
        <v>61</v>
      </c>
      <c r="H153" s="114" t="s">
        <v>405</v>
      </c>
      <c r="I153" s="111" t="s">
        <v>185</v>
      </c>
      <c r="J153" s="118">
        <f>22536457/[1]Sheet1!$T$370</f>
        <v>3338083.5039093951</v>
      </c>
      <c r="K153" s="111"/>
      <c r="L153" s="111"/>
      <c r="M153" s="111"/>
      <c r="N153" s="111"/>
    </row>
    <row r="154" spans="2:14" s="26" customFormat="1" hidden="1" x14ac:dyDescent="0.35">
      <c r="B154" s="111" t="str">
        <f>VLOOKUP(C154,Companies[],3,FALSE)</f>
        <v>000170033-8</v>
      </c>
      <c r="C154" s="114" t="s">
        <v>405</v>
      </c>
      <c r="D154" s="111" t="s">
        <v>322</v>
      </c>
      <c r="E154" s="111" t="s">
        <v>498</v>
      </c>
      <c r="F154" s="111" t="s">
        <v>61</v>
      </c>
      <c r="G154" s="111" t="s">
        <v>61</v>
      </c>
      <c r="H154" s="114" t="s">
        <v>405</v>
      </c>
      <c r="I154" s="111" t="s">
        <v>185</v>
      </c>
      <c r="J154" s="118">
        <f>25310310/[1]Sheet1!$T$370</f>
        <v>3748944.5785481273</v>
      </c>
      <c r="K154" s="111"/>
      <c r="L154" s="111"/>
      <c r="M154" s="111"/>
      <c r="N154" s="111"/>
    </row>
    <row r="155" spans="2:14" s="26" customFormat="1" hidden="1" x14ac:dyDescent="0.35">
      <c r="B155" s="111" t="str">
        <f>VLOOKUP(C155,Companies[],3,FALSE)</f>
        <v>000170033-8</v>
      </c>
      <c r="C155" s="114" t="s">
        <v>405</v>
      </c>
      <c r="D155" s="111" t="s">
        <v>322</v>
      </c>
      <c r="E155" s="111" t="s">
        <v>512</v>
      </c>
      <c r="F155" s="111" t="s">
        <v>61</v>
      </c>
      <c r="G155" s="111" t="s">
        <v>61</v>
      </c>
      <c r="H155" s="114" t="s">
        <v>405</v>
      </c>
      <c r="I155" s="111" t="s">
        <v>185</v>
      </c>
      <c r="J155" s="118">
        <f>2534031/[1]Sheet1!$T$370</f>
        <v>375338.81565744907</v>
      </c>
      <c r="K155" s="111"/>
      <c r="L155" s="111"/>
      <c r="M155" s="111"/>
      <c r="N155" s="111"/>
    </row>
    <row r="156" spans="2:14" s="26" customFormat="1" hidden="1" x14ac:dyDescent="0.35">
      <c r="B156" s="111" t="str">
        <f>VLOOKUP(C156,Companies[],3,FALSE)</f>
        <v>000170033-8</v>
      </c>
      <c r="C156" s="114" t="s">
        <v>405</v>
      </c>
      <c r="D156" s="111" t="s">
        <v>322</v>
      </c>
      <c r="E156" s="111" t="s">
        <v>485</v>
      </c>
      <c r="F156" s="111" t="s">
        <v>61</v>
      </c>
      <c r="G156" s="111" t="s">
        <v>61</v>
      </c>
      <c r="H156" s="114" t="s">
        <v>405</v>
      </c>
      <c r="I156" s="111" t="s">
        <v>185</v>
      </c>
      <c r="J156" s="118">
        <f>20760899/[1]Sheet1!$T$370</f>
        <v>3075089.1534649413</v>
      </c>
      <c r="K156" s="111"/>
      <c r="L156" s="111"/>
      <c r="M156" s="111"/>
      <c r="N156" s="111"/>
    </row>
    <row r="157" spans="2:14" s="26" customFormat="1" hidden="1" x14ac:dyDescent="0.35">
      <c r="B157" s="111" t="str">
        <f>VLOOKUP(C157,Companies[],3,FALSE)</f>
        <v>000170033-8</v>
      </c>
      <c r="C157" s="114" t="s">
        <v>405</v>
      </c>
      <c r="D157" s="111" t="s">
        <v>322</v>
      </c>
      <c r="E157" s="111" t="s">
        <v>488</v>
      </c>
      <c r="F157" s="111" t="s">
        <v>61</v>
      </c>
      <c r="G157" s="111" t="s">
        <v>61</v>
      </c>
      <c r="H157" s="114" t="s">
        <v>405</v>
      </c>
      <c r="I157" s="111" t="s">
        <v>185</v>
      </c>
      <c r="J157" s="118">
        <f>27907687/[1]Sheet1!$T$370</f>
        <v>4133666.1573275104</v>
      </c>
      <c r="K157" s="111"/>
      <c r="L157" s="111"/>
      <c r="M157" s="111"/>
      <c r="N157" s="111"/>
    </row>
    <row r="158" spans="2:14" s="26" customFormat="1" hidden="1" x14ac:dyDescent="0.35">
      <c r="B158" s="111" t="str">
        <f>VLOOKUP(C158,Companies[],3,FALSE)</f>
        <v>000170033-8</v>
      </c>
      <c r="C158" s="114" t="s">
        <v>405</v>
      </c>
      <c r="D158" s="111" t="s">
        <v>322</v>
      </c>
      <c r="E158" s="111" t="s">
        <v>484</v>
      </c>
      <c r="F158" s="111" t="s">
        <v>61</v>
      </c>
      <c r="G158" s="111" t="s">
        <v>61</v>
      </c>
      <c r="H158" s="114" t="s">
        <v>405</v>
      </c>
      <c r="I158" s="111" t="s">
        <v>185</v>
      </c>
      <c r="J158" s="118">
        <f>24555193/[1]Sheet1!$T$370</f>
        <v>3637097.2015970144</v>
      </c>
      <c r="K158" s="111"/>
      <c r="L158" s="111"/>
      <c r="M158" s="111"/>
      <c r="N158" s="111"/>
    </row>
    <row r="159" spans="2:14" s="26" customFormat="1" hidden="1" x14ac:dyDescent="0.35">
      <c r="B159" s="111" t="str">
        <f>VLOOKUP(C159,Companies[],3,FALSE)</f>
        <v>000170033-8</v>
      </c>
      <c r="C159" s="114" t="s">
        <v>405</v>
      </c>
      <c r="D159" s="111" t="s">
        <v>322</v>
      </c>
      <c r="E159" s="111" t="s">
        <v>490</v>
      </c>
      <c r="F159" s="111" t="s">
        <v>61</v>
      </c>
      <c r="G159" s="111" t="s">
        <v>61</v>
      </c>
      <c r="H159" s="114" t="s">
        <v>405</v>
      </c>
      <c r="I159" s="111" t="s">
        <v>185</v>
      </c>
      <c r="J159" s="118">
        <f>75777/[1]Sheet1!$T$370</f>
        <v>11224.033736791112</v>
      </c>
      <c r="K159" s="111"/>
      <c r="L159" s="111"/>
      <c r="M159" s="111"/>
      <c r="N159" s="111"/>
    </row>
    <row r="160" spans="2:14" s="26" customFormat="1" hidden="1" x14ac:dyDescent="0.35">
      <c r="B160" s="111" t="str">
        <f>VLOOKUP(C160,Companies[],3,FALSE)</f>
        <v>000170033-8</v>
      </c>
      <c r="C160" s="114" t="s">
        <v>405</v>
      </c>
      <c r="D160" s="111" t="s">
        <v>322</v>
      </c>
      <c r="E160" s="111" t="s">
        <v>492</v>
      </c>
      <c r="F160" s="111" t="s">
        <v>61</v>
      </c>
      <c r="G160" s="111" t="s">
        <v>61</v>
      </c>
      <c r="H160" s="114" t="s">
        <v>405</v>
      </c>
      <c r="I160" s="111" t="s">
        <v>185</v>
      </c>
      <c r="J160" s="118">
        <f>1751879/[1]Sheet1!$T$370</f>
        <v>259487.03430824494</v>
      </c>
      <c r="K160" s="111"/>
      <c r="L160" s="111"/>
      <c r="M160" s="111"/>
      <c r="N160" s="111"/>
    </row>
    <row r="161" spans="2:14" s="26" customFormat="1" hidden="1" x14ac:dyDescent="0.35">
      <c r="B161" s="111" t="str">
        <f>VLOOKUP(C161,Companies[],3,FALSE)</f>
        <v>000170033-8</v>
      </c>
      <c r="C161" s="114" t="s">
        <v>405</v>
      </c>
      <c r="D161" s="22" t="s">
        <v>324</v>
      </c>
      <c r="E161" s="111" t="s">
        <v>500</v>
      </c>
      <c r="F161" s="111" t="s">
        <v>61</v>
      </c>
      <c r="G161" s="111" t="s">
        <v>61</v>
      </c>
      <c r="H161" s="114" t="s">
        <v>405</v>
      </c>
      <c r="I161" s="111" t="s">
        <v>185</v>
      </c>
      <c r="J161" s="118">
        <f>625859541/[1]Sheet1!$T$370</f>
        <v>92701856.799247801</v>
      </c>
      <c r="K161" s="111"/>
      <c r="L161" s="111"/>
      <c r="M161" s="111"/>
      <c r="N161" s="111"/>
    </row>
    <row r="162" spans="2:14" s="26" customFormat="1" hidden="1" x14ac:dyDescent="0.35">
      <c r="B162" s="111" t="str">
        <f>VLOOKUP(C162,Companies[],3,FALSE)</f>
        <v>000170033-8</v>
      </c>
      <c r="C162" s="114" t="s">
        <v>405</v>
      </c>
      <c r="D162" s="111" t="s">
        <v>325</v>
      </c>
      <c r="E162" s="111" t="s">
        <v>487</v>
      </c>
      <c r="F162" s="111" t="s">
        <v>61</v>
      </c>
      <c r="G162" s="111" t="s">
        <v>61</v>
      </c>
      <c r="H162" s="114" t="s">
        <v>405</v>
      </c>
      <c r="I162" s="111" t="s">
        <v>185</v>
      </c>
      <c r="J162" s="118">
        <f>109930015/[1]Sheet1!$T$370</f>
        <v>16282753.303059675</v>
      </c>
      <c r="K162" s="111"/>
      <c r="L162" s="111"/>
      <c r="M162" s="111"/>
      <c r="N162" s="111"/>
    </row>
    <row r="163" spans="2:14" s="26" customFormat="1" hidden="1" x14ac:dyDescent="0.35">
      <c r="B163" s="111" t="str">
        <f>VLOOKUP(C163,Companies[],3,FALSE)</f>
        <v>000123057-8</v>
      </c>
      <c r="C163" s="113" t="s">
        <v>407</v>
      </c>
      <c r="D163" s="111" t="s">
        <v>322</v>
      </c>
      <c r="E163" s="111" t="s">
        <v>485</v>
      </c>
      <c r="F163" s="111" t="s">
        <v>61</v>
      </c>
      <c r="G163" s="111" t="s">
        <v>61</v>
      </c>
      <c r="H163" s="113" t="s">
        <v>407</v>
      </c>
      <c r="I163" s="111" t="s">
        <v>185</v>
      </c>
      <c r="J163" s="118">
        <f>9916940/[1]Sheet1!$T$370</f>
        <v>1468889.8890921157</v>
      </c>
      <c r="K163" s="111"/>
      <c r="L163" s="111"/>
      <c r="M163" s="111"/>
      <c r="N163" s="111"/>
    </row>
    <row r="164" spans="2:14" s="26" customFormat="1" hidden="1" x14ac:dyDescent="0.35">
      <c r="B164" s="111" t="str">
        <f>VLOOKUP(C164,Companies[],3,FALSE)</f>
        <v>000123057-8</v>
      </c>
      <c r="C164" s="113" t="s">
        <v>407</v>
      </c>
      <c r="D164" s="111" t="s">
        <v>322</v>
      </c>
      <c r="E164" s="111" t="s">
        <v>488</v>
      </c>
      <c r="F164" s="111" t="s">
        <v>61</v>
      </c>
      <c r="G164" s="111" t="s">
        <v>61</v>
      </c>
      <c r="H164" s="113" t="s">
        <v>407</v>
      </c>
      <c r="I164" s="111" t="s">
        <v>185</v>
      </c>
      <c r="J164" s="118">
        <f>1181209/[1]Sheet1!$T$370</f>
        <v>174959.81189808639</v>
      </c>
      <c r="K164" s="111"/>
      <c r="L164" s="111"/>
      <c r="M164" s="111"/>
      <c r="N164" s="111"/>
    </row>
    <row r="165" spans="2:14" s="26" customFormat="1" hidden="1" x14ac:dyDescent="0.35">
      <c r="B165" s="111" t="str">
        <f>VLOOKUP(C165,Companies[],3,FALSE)</f>
        <v>000115137-2</v>
      </c>
      <c r="C165" s="113" t="s">
        <v>413</v>
      </c>
      <c r="D165" s="111" t="s">
        <v>322</v>
      </c>
      <c r="E165" s="111" t="s">
        <v>498</v>
      </c>
      <c r="F165" s="111" t="s">
        <v>61</v>
      </c>
      <c r="G165" s="111" t="s">
        <v>61</v>
      </c>
      <c r="H165" s="113" t="s">
        <v>413</v>
      </c>
      <c r="I165" s="111" t="s">
        <v>185</v>
      </c>
      <c r="J165" s="118">
        <f>199309611/[1]Sheet1!$T$370</f>
        <v>29521593.596087374</v>
      </c>
      <c r="K165" s="111"/>
      <c r="L165" s="111"/>
      <c r="M165" s="111"/>
      <c r="N165" s="111"/>
    </row>
    <row r="166" spans="2:14" s="26" customFormat="1" hidden="1" x14ac:dyDescent="0.35">
      <c r="B166" s="111" t="str">
        <f>VLOOKUP(C166,Companies[],3,FALSE)</f>
        <v>000115137-2</v>
      </c>
      <c r="C166" s="113" t="s">
        <v>413</v>
      </c>
      <c r="D166" s="111" t="s">
        <v>322</v>
      </c>
      <c r="E166" s="111" t="s">
        <v>512</v>
      </c>
      <c r="F166" s="111" t="s">
        <v>61</v>
      </c>
      <c r="G166" s="111" t="s">
        <v>61</v>
      </c>
      <c r="H166" s="113" t="s">
        <v>413</v>
      </c>
      <c r="I166" s="111" t="s">
        <v>185</v>
      </c>
      <c r="J166" s="118">
        <f>20251665/[1]Sheet1!$T$370</f>
        <v>2999661.7863757047</v>
      </c>
      <c r="K166" s="111"/>
      <c r="L166" s="111"/>
      <c r="M166" s="111"/>
      <c r="N166" s="111"/>
    </row>
    <row r="167" spans="2:14" s="26" customFormat="1" hidden="1" x14ac:dyDescent="0.35">
      <c r="B167" s="111" t="str">
        <f>VLOOKUP(C167,Companies[],3,FALSE)</f>
        <v>000115137-2</v>
      </c>
      <c r="C167" s="113" t="s">
        <v>413</v>
      </c>
      <c r="D167" s="111" t="s">
        <v>322</v>
      </c>
      <c r="E167" s="111" t="s">
        <v>488</v>
      </c>
      <c r="F167" s="111" t="s">
        <v>61</v>
      </c>
      <c r="G167" s="111" t="s">
        <v>61</v>
      </c>
      <c r="H167" s="113" t="s">
        <v>413</v>
      </c>
      <c r="I167" s="111" t="s">
        <v>185</v>
      </c>
      <c r="J167" s="118">
        <f>1208169/[1]Sheet1!$T$370</f>
        <v>178953.10735111157</v>
      </c>
      <c r="K167" s="111"/>
      <c r="L167" s="111"/>
      <c r="M167" s="111"/>
      <c r="N167" s="111"/>
    </row>
    <row r="168" spans="2:14" s="26" customFormat="1" hidden="1" x14ac:dyDescent="0.35">
      <c r="B168" s="111" t="str">
        <f>VLOOKUP(C168,Companies[],3,FALSE)</f>
        <v>000119991-0</v>
      </c>
      <c r="C168" s="114" t="s">
        <v>409</v>
      </c>
      <c r="D168" s="111" t="s">
        <v>322</v>
      </c>
      <c r="E168" s="111" t="s">
        <v>485</v>
      </c>
      <c r="F168" s="111" t="s">
        <v>61</v>
      </c>
      <c r="G168" s="111" t="s">
        <v>61</v>
      </c>
      <c r="H168" s="114" t="s">
        <v>409</v>
      </c>
      <c r="I168" s="111" t="s">
        <v>185</v>
      </c>
      <c r="J168" s="118">
        <f>96325146/[1]Sheet1!$T$370</f>
        <v>14267610.071727958</v>
      </c>
      <c r="K168" s="111"/>
      <c r="L168" s="111"/>
      <c r="M168" s="111"/>
      <c r="N168" s="111"/>
    </row>
    <row r="169" spans="2:14" s="26" customFormat="1" hidden="1" x14ac:dyDescent="0.35">
      <c r="B169" s="111" t="str">
        <f>VLOOKUP(C169,Companies[],3,FALSE)</f>
        <v>000119991-0</v>
      </c>
      <c r="C169" s="114" t="s">
        <v>409</v>
      </c>
      <c r="D169" s="111" t="s">
        <v>322</v>
      </c>
      <c r="E169" s="111" t="s">
        <v>488</v>
      </c>
      <c r="F169" s="111" t="s">
        <v>61</v>
      </c>
      <c r="G169" s="111" t="s">
        <v>61</v>
      </c>
      <c r="H169" s="114" t="s">
        <v>409</v>
      </c>
      <c r="I169" s="111" t="s">
        <v>185</v>
      </c>
      <c r="J169" s="118">
        <f>999275/[1]Sheet1!$T$370</f>
        <v>148011.88107647357</v>
      </c>
      <c r="K169" s="111"/>
      <c r="L169" s="111"/>
      <c r="M169" s="111"/>
      <c r="N169" s="111"/>
    </row>
    <row r="170" spans="2:14" s="26" customFormat="1" hidden="1" x14ac:dyDescent="0.35">
      <c r="B170" s="111" t="str">
        <f>VLOOKUP(C170,Companies[],3,FALSE)</f>
        <v>000170005-3</v>
      </c>
      <c r="C170" s="113" t="s">
        <v>402</v>
      </c>
      <c r="D170" s="111" t="s">
        <v>322</v>
      </c>
      <c r="E170" s="111" t="s">
        <v>508</v>
      </c>
      <c r="F170" s="111" t="s">
        <v>61</v>
      </c>
      <c r="G170" s="111" t="s">
        <v>61</v>
      </c>
      <c r="H170" s="113" t="s">
        <v>402</v>
      </c>
      <c r="I170" s="111" t="s">
        <v>185</v>
      </c>
      <c r="J170" s="118">
        <v>0</v>
      </c>
      <c r="K170" s="111"/>
      <c r="L170" s="111"/>
      <c r="M170" s="111"/>
      <c r="N170" s="111"/>
    </row>
    <row r="171" spans="2:14" s="26" customFormat="1" hidden="1" x14ac:dyDescent="0.35">
      <c r="B171" s="111" t="str">
        <f>VLOOKUP(C171,Companies[],3,FALSE)</f>
        <v>000170005-3</v>
      </c>
      <c r="C171" s="113" t="s">
        <v>402</v>
      </c>
      <c r="D171" s="111" t="s">
        <v>322</v>
      </c>
      <c r="E171" s="111" t="s">
        <v>512</v>
      </c>
      <c r="F171" s="111" t="s">
        <v>61</v>
      </c>
      <c r="G171" s="111" t="s">
        <v>61</v>
      </c>
      <c r="H171" s="113" t="s">
        <v>402</v>
      </c>
      <c r="I171" s="111" t="s">
        <v>185</v>
      </c>
      <c r="J171" s="118">
        <v>0</v>
      </c>
      <c r="K171" s="111"/>
      <c r="L171" s="111"/>
      <c r="M171" s="111"/>
      <c r="N171" s="111"/>
    </row>
    <row r="172" spans="2:14" s="26" customFormat="1" hidden="1" x14ac:dyDescent="0.35">
      <c r="B172" s="111" t="str">
        <f>VLOOKUP(C172,Companies[],3,FALSE)</f>
        <v>000170005-3</v>
      </c>
      <c r="C172" s="113" t="s">
        <v>402</v>
      </c>
      <c r="D172" s="111" t="s">
        <v>322</v>
      </c>
      <c r="E172" s="111" t="s">
        <v>488</v>
      </c>
      <c r="F172" s="111" t="s">
        <v>61</v>
      </c>
      <c r="G172" s="111" t="s">
        <v>61</v>
      </c>
      <c r="H172" s="113" t="s">
        <v>402</v>
      </c>
      <c r="I172" s="111" t="s">
        <v>185</v>
      </c>
      <c r="J172" s="118">
        <v>0</v>
      </c>
      <c r="K172" s="111"/>
      <c r="L172" s="111"/>
      <c r="M172" s="111"/>
      <c r="N172" s="111"/>
    </row>
    <row r="173" spans="2:14" s="26" customFormat="1" hidden="1" x14ac:dyDescent="0.35">
      <c r="B173" s="111" t="str">
        <f>VLOOKUP(C173,Companies[],3,FALSE)</f>
        <v>000170005-3</v>
      </c>
      <c r="C173" s="113" t="s">
        <v>402</v>
      </c>
      <c r="D173" s="111" t="s">
        <v>322</v>
      </c>
      <c r="E173" s="111" t="s">
        <v>492</v>
      </c>
      <c r="F173" s="111" t="s">
        <v>61</v>
      </c>
      <c r="G173" s="111" t="s">
        <v>61</v>
      </c>
      <c r="H173" s="113" t="s">
        <v>402</v>
      </c>
      <c r="I173" s="111" t="s">
        <v>185</v>
      </c>
      <c r="J173" s="118">
        <v>0</v>
      </c>
      <c r="K173" s="111"/>
      <c r="L173" s="111"/>
      <c r="M173" s="111"/>
      <c r="N173" s="111"/>
    </row>
    <row r="174" spans="2:14" s="26" customFormat="1" hidden="1" x14ac:dyDescent="0.35">
      <c r="B174" s="111" t="str">
        <f>VLOOKUP(C174,Companies[],3,FALSE)</f>
        <v>000170005-3</v>
      </c>
      <c r="C174" s="113" t="s">
        <v>402</v>
      </c>
      <c r="D174" s="22" t="s">
        <v>324</v>
      </c>
      <c r="E174" s="111" t="s">
        <v>493</v>
      </c>
      <c r="F174" s="111" t="s">
        <v>61</v>
      </c>
      <c r="G174" s="111" t="s">
        <v>61</v>
      </c>
      <c r="H174" s="113" t="s">
        <v>402</v>
      </c>
      <c r="I174" s="111" t="s">
        <v>185</v>
      </c>
      <c r="J174" s="118">
        <f>1647257/[1]Sheet1!$T$370</f>
        <v>243990.50029910551</v>
      </c>
      <c r="K174" s="111"/>
      <c r="L174" s="111"/>
      <c r="M174" s="111"/>
      <c r="N174" s="111"/>
    </row>
    <row r="175" spans="2:14" s="26" customFormat="1" hidden="1" x14ac:dyDescent="0.35">
      <c r="B175" s="111" t="str">
        <f>VLOOKUP(C175,Companies[],3,FALSE)</f>
        <v>000170005-3</v>
      </c>
      <c r="C175" s="113" t="s">
        <v>402</v>
      </c>
      <c r="D175" s="22" t="s">
        <v>324</v>
      </c>
      <c r="E175" s="111" t="s">
        <v>502</v>
      </c>
      <c r="F175" s="111" t="s">
        <v>61</v>
      </c>
      <c r="G175" s="111" t="s">
        <v>61</v>
      </c>
      <c r="H175" s="113" t="s">
        <v>402</v>
      </c>
      <c r="I175" s="111" t="s">
        <v>185</v>
      </c>
      <c r="J175" s="118">
        <v>0</v>
      </c>
      <c r="K175" s="111"/>
      <c r="L175" s="111"/>
      <c r="M175" s="111"/>
      <c r="N175" s="111"/>
    </row>
    <row r="176" spans="2:14" s="26" customFormat="1" hidden="1" x14ac:dyDescent="0.35">
      <c r="B176" s="111" t="str">
        <f>VLOOKUP(C176,Companies[],3,FALSE)</f>
        <v>000170005-3</v>
      </c>
      <c r="C176" s="113" t="s">
        <v>402</v>
      </c>
      <c r="D176" s="22" t="s">
        <v>324</v>
      </c>
      <c r="E176" s="111" t="s">
        <v>510</v>
      </c>
      <c r="F176" s="111" t="s">
        <v>61</v>
      </c>
      <c r="G176" s="111" t="s">
        <v>61</v>
      </c>
      <c r="H176" s="113" t="s">
        <v>402</v>
      </c>
      <c r="I176" s="111" t="s">
        <v>185</v>
      </c>
      <c r="J176" s="118">
        <f>49986/[1]Sheet1!$T$370</f>
        <v>7403.889707526565</v>
      </c>
      <c r="K176" s="111"/>
      <c r="L176" s="111"/>
      <c r="M176" s="111"/>
      <c r="N176" s="111"/>
    </row>
    <row r="177" spans="2:14" s="26" customFormat="1" hidden="1" x14ac:dyDescent="0.35">
      <c r="B177" s="111" t="str">
        <f>VLOOKUP(C177,Companies[],3,FALSE)</f>
        <v>000170005-3</v>
      </c>
      <c r="C177" s="113" t="s">
        <v>402</v>
      </c>
      <c r="D177" s="22" t="s">
        <v>324</v>
      </c>
      <c r="E177" s="111" t="s">
        <v>504</v>
      </c>
      <c r="F177" s="111" t="s">
        <v>61</v>
      </c>
      <c r="G177" s="111" t="s">
        <v>61</v>
      </c>
      <c r="H177" s="113" t="s">
        <v>402</v>
      </c>
      <c r="I177" s="111" t="s">
        <v>185</v>
      </c>
      <c r="J177" s="118">
        <f>49986/[1]Sheet1!$T$370</f>
        <v>7403.889707526565</v>
      </c>
      <c r="K177" s="111"/>
      <c r="L177" s="111"/>
      <c r="M177" s="111"/>
      <c r="N177" s="111"/>
    </row>
    <row r="178" spans="2:14" s="26" customFormat="1" hidden="1" x14ac:dyDescent="0.35">
      <c r="B178" s="111" t="str">
        <f>VLOOKUP(C178,Companies[],3,FALSE)</f>
        <v>000170005-3</v>
      </c>
      <c r="C178" s="113" t="s">
        <v>402</v>
      </c>
      <c r="D178" s="22" t="s">
        <v>324</v>
      </c>
      <c r="E178" s="111" t="s">
        <v>507</v>
      </c>
      <c r="F178" s="111" t="s">
        <v>61</v>
      </c>
      <c r="G178" s="111" t="s">
        <v>61</v>
      </c>
      <c r="H178" s="113" t="s">
        <v>402</v>
      </c>
      <c r="I178" s="111" t="s">
        <v>185</v>
      </c>
      <c r="J178" s="118">
        <f>107040/[1]Sheet1!$T$370</f>
        <v>15854.686398064328</v>
      </c>
      <c r="K178" s="111"/>
      <c r="L178" s="111"/>
      <c r="M178" s="111"/>
      <c r="N178" s="111"/>
    </row>
    <row r="179" spans="2:14" s="26" customFormat="1" hidden="1" x14ac:dyDescent="0.35">
      <c r="B179" s="111" t="str">
        <f>VLOOKUP(C179,Companies[],3,FALSE)</f>
        <v>100019677-0</v>
      </c>
      <c r="C179" s="115" t="s">
        <v>417</v>
      </c>
      <c r="D179" s="111" t="s">
        <v>322</v>
      </c>
      <c r="E179" s="111" t="s">
        <v>498</v>
      </c>
      <c r="F179" s="111" t="s">
        <v>61</v>
      </c>
      <c r="G179" s="111" t="s">
        <v>61</v>
      </c>
      <c r="H179" s="115" t="s">
        <v>417</v>
      </c>
      <c r="I179" s="111" t="s">
        <v>185</v>
      </c>
      <c r="J179" s="118">
        <f>125042454/[1]Sheet1!$T$370</f>
        <v>18521196.69856488</v>
      </c>
      <c r="K179" s="111"/>
      <c r="L179" s="111"/>
      <c r="M179" s="111"/>
      <c r="N179" s="111"/>
    </row>
    <row r="180" spans="2:14" s="26" customFormat="1" hidden="1" x14ac:dyDescent="0.35">
      <c r="B180" s="111" t="str">
        <f>VLOOKUP(C180,Companies[],3,FALSE)</f>
        <v>100019677-0</v>
      </c>
      <c r="C180" s="115" t="s">
        <v>417</v>
      </c>
      <c r="D180" s="111" t="s">
        <v>322</v>
      </c>
      <c r="E180" s="111" t="s">
        <v>512</v>
      </c>
      <c r="F180" s="111" t="s">
        <v>61</v>
      </c>
      <c r="G180" s="111" t="s">
        <v>61</v>
      </c>
      <c r="H180" s="115" t="s">
        <v>417</v>
      </c>
      <c r="I180" s="111" t="s">
        <v>185</v>
      </c>
      <c r="J180" s="118">
        <f>25407678/[1]Sheet1!$T$370</f>
        <v>3763366.6553904922</v>
      </c>
      <c r="K180" s="111"/>
      <c r="L180" s="111"/>
      <c r="M180" s="111"/>
      <c r="N180" s="111"/>
    </row>
    <row r="181" spans="2:14" s="26" customFormat="1" hidden="1" x14ac:dyDescent="0.35">
      <c r="B181" s="111" t="str">
        <f>VLOOKUP(C181,Companies[],3,FALSE)</f>
        <v>100019677-0</v>
      </c>
      <c r="C181" s="115" t="s">
        <v>417</v>
      </c>
      <c r="D181" s="111" t="s">
        <v>322</v>
      </c>
      <c r="E181" s="111" t="s">
        <v>488</v>
      </c>
      <c r="F181" s="111" t="s">
        <v>61</v>
      </c>
      <c r="G181" s="111" t="s">
        <v>61</v>
      </c>
      <c r="H181" s="115" t="s">
        <v>417</v>
      </c>
      <c r="I181" s="111" t="s">
        <v>185</v>
      </c>
      <c r="J181" s="118">
        <f>9568329/[1]Sheet1!$T$370</f>
        <v>1417253.8831138308</v>
      </c>
      <c r="K181" s="111"/>
      <c r="L181" s="111"/>
      <c r="M181" s="111"/>
      <c r="N181" s="111"/>
    </row>
    <row r="182" spans="2:14" s="26" customFormat="1" hidden="1" x14ac:dyDescent="0.35">
      <c r="B182" s="111" t="str">
        <f>VLOOKUP(C182,Companies[],3,FALSE)</f>
        <v>100019677-0</v>
      </c>
      <c r="C182" s="115" t="s">
        <v>417</v>
      </c>
      <c r="D182" s="22" t="s">
        <v>324</v>
      </c>
      <c r="E182" s="111" t="s">
        <v>506</v>
      </c>
      <c r="F182" s="111" t="s">
        <v>61</v>
      </c>
      <c r="G182" s="111" t="s">
        <v>61</v>
      </c>
      <c r="H182" s="115" t="s">
        <v>417</v>
      </c>
      <c r="I182" s="111" t="s">
        <v>185</v>
      </c>
      <c r="J182" s="118">
        <f>461947491/[1]Sheet1!$T$370</f>
        <v>68423324.011375591</v>
      </c>
      <c r="K182" s="111"/>
      <c r="L182" s="111"/>
      <c r="M182" s="111"/>
      <c r="N182" s="111"/>
    </row>
    <row r="183" spans="2:14" s="26" customFormat="1" hidden="1" x14ac:dyDescent="0.35">
      <c r="B183" s="111" t="str">
        <f>VLOOKUP(C183,Companies[],3,FALSE)</f>
        <v>100019677-0</v>
      </c>
      <c r="C183" s="115" t="s">
        <v>417</v>
      </c>
      <c r="D183" s="22" t="s">
        <v>324</v>
      </c>
      <c r="E183" s="111" t="s">
        <v>493</v>
      </c>
      <c r="F183" s="111" t="s">
        <v>61</v>
      </c>
      <c r="G183" s="111" t="s">
        <v>61</v>
      </c>
      <c r="H183" s="115" t="s">
        <v>417</v>
      </c>
      <c r="I183" s="111" t="s">
        <v>185</v>
      </c>
      <c r="J183" s="118">
        <f>15995356/[1]Sheet1!$T$370</f>
        <v>2369220.4148486233</v>
      </c>
      <c r="K183" s="111"/>
      <c r="L183" s="111"/>
      <c r="M183" s="111"/>
      <c r="N183" s="111"/>
    </row>
    <row r="184" spans="2:14" s="26" customFormat="1" hidden="1" x14ac:dyDescent="0.35">
      <c r="B184" s="111" t="str">
        <f>VLOOKUP(C184,Companies[],3,FALSE)</f>
        <v>100019677-0</v>
      </c>
      <c r="C184" s="115" t="s">
        <v>417</v>
      </c>
      <c r="D184" s="111" t="s">
        <v>324</v>
      </c>
      <c r="E184" s="111" t="s">
        <v>482</v>
      </c>
      <c r="F184" s="111" t="s">
        <v>61</v>
      </c>
      <c r="G184" s="111" t="s">
        <v>61</v>
      </c>
      <c r="H184" s="115" t="s">
        <v>417</v>
      </c>
      <c r="I184" s="111" t="s">
        <v>185</v>
      </c>
      <c r="J184" s="118">
        <f>16864943/[1]Sheet1!$T$370</f>
        <v>2498023.0043556634</v>
      </c>
      <c r="K184" s="111"/>
      <c r="L184" s="111"/>
      <c r="M184" s="111"/>
      <c r="N184" s="111"/>
    </row>
    <row r="185" spans="2:14" s="26" customFormat="1" hidden="1" x14ac:dyDescent="0.35">
      <c r="B185" s="111" t="str">
        <f>VLOOKUP(C185,Companies[],3,FALSE)</f>
        <v>100019677-0</v>
      </c>
      <c r="C185" s="115" t="s">
        <v>417</v>
      </c>
      <c r="D185" s="22" t="s">
        <v>324</v>
      </c>
      <c r="E185" s="111" t="s">
        <v>497</v>
      </c>
      <c r="F185" s="111" t="s">
        <v>61</v>
      </c>
      <c r="G185" s="111" t="s">
        <v>61</v>
      </c>
      <c r="H185" s="115" t="s">
        <v>417</v>
      </c>
      <c r="I185" s="111" t="s">
        <v>185</v>
      </c>
      <c r="J185" s="118">
        <f>115594697/[1]Sheet1!$T$370</f>
        <v>17121801.851777535</v>
      </c>
      <c r="K185" s="111"/>
      <c r="L185" s="111"/>
      <c r="M185" s="111"/>
      <c r="N185" s="111"/>
    </row>
    <row r="186" spans="2:14" s="26" customFormat="1" hidden="1" x14ac:dyDescent="0.35">
      <c r="B186" s="111" t="str">
        <f>VLOOKUP(C186,Companies[],3,FALSE)</f>
        <v>100019677-0</v>
      </c>
      <c r="C186" s="115" t="s">
        <v>417</v>
      </c>
      <c r="D186" s="22" t="s">
        <v>324</v>
      </c>
      <c r="E186" s="111" t="s">
        <v>477</v>
      </c>
      <c r="F186" s="111" t="s">
        <v>61</v>
      </c>
      <c r="G186" s="111" t="s">
        <v>61</v>
      </c>
      <c r="H186" s="115" t="s">
        <v>417</v>
      </c>
      <c r="I186" s="111" t="s">
        <v>185</v>
      </c>
      <c r="J186" s="118">
        <f>21143859/[1]Sheet1!$T$370</f>
        <v>3131812.9081641445</v>
      </c>
      <c r="K186" s="111"/>
      <c r="L186" s="111"/>
      <c r="M186" s="111"/>
      <c r="N186" s="111"/>
    </row>
    <row r="187" spans="2:14" s="26" customFormat="1" hidden="1" x14ac:dyDescent="0.35">
      <c r="B187" s="111" t="str">
        <f>VLOOKUP(C187,Companies[],3,FALSE)</f>
        <v>100019677-0</v>
      </c>
      <c r="C187" s="115" t="s">
        <v>417</v>
      </c>
      <c r="D187" s="22" t="s">
        <v>324</v>
      </c>
      <c r="E187" s="111" t="s">
        <v>510</v>
      </c>
      <c r="F187" s="111" t="s">
        <v>61</v>
      </c>
      <c r="G187" s="111" t="s">
        <v>61</v>
      </c>
      <c r="H187" s="115" t="s">
        <v>417</v>
      </c>
      <c r="I187" s="111" t="s">
        <v>185</v>
      </c>
      <c r="J187" s="118">
        <f>1508712/[1]Sheet1!$T$370</f>
        <v>223469.31637702195</v>
      </c>
      <c r="K187" s="111"/>
      <c r="L187" s="111"/>
      <c r="M187" s="111"/>
      <c r="N187" s="111"/>
    </row>
    <row r="188" spans="2:14" s="26" customFormat="1" hidden="1" x14ac:dyDescent="0.35">
      <c r="B188" s="111" t="str">
        <f>VLOOKUP(C188,Companies[],3,FALSE)</f>
        <v>100019677-0</v>
      </c>
      <c r="C188" s="115" t="s">
        <v>417</v>
      </c>
      <c r="D188" s="22" t="s">
        <v>324</v>
      </c>
      <c r="E188" s="111" t="s">
        <v>504</v>
      </c>
      <c r="F188" s="111" t="s">
        <v>61</v>
      </c>
      <c r="G188" s="111" t="s">
        <v>61</v>
      </c>
      <c r="H188" s="115" t="s">
        <v>417</v>
      </c>
      <c r="I188" s="111" t="s">
        <v>185</v>
      </c>
      <c r="J188" s="118">
        <f>1508712/[1]Sheet1!$T$370</f>
        <v>223469.31637702195</v>
      </c>
      <c r="K188" s="111"/>
      <c r="L188" s="111"/>
      <c r="M188" s="111"/>
      <c r="N188" s="111"/>
    </row>
    <row r="189" spans="2:14" s="26" customFormat="1" hidden="1" x14ac:dyDescent="0.35">
      <c r="B189" s="111" t="str">
        <f>VLOOKUP(C189,Companies[],3,FALSE)</f>
        <v>100019677-0</v>
      </c>
      <c r="C189" s="115" t="s">
        <v>417</v>
      </c>
      <c r="D189" s="22" t="s">
        <v>324</v>
      </c>
      <c r="E189" s="111" t="s">
        <v>507</v>
      </c>
      <c r="F189" s="111" t="s">
        <v>61</v>
      </c>
      <c r="G189" s="111" t="s">
        <v>61</v>
      </c>
      <c r="H189" s="115" t="s">
        <v>417</v>
      </c>
      <c r="I189" s="111" t="s">
        <v>185</v>
      </c>
      <c r="J189" s="118">
        <f>1331216.41/[1]Sheet1!$T$370</f>
        <v>197178.7995936755</v>
      </c>
      <c r="K189" s="111"/>
      <c r="L189" s="111"/>
      <c r="M189" s="111"/>
      <c r="N189" s="111"/>
    </row>
    <row r="190" spans="2:14" s="26" customFormat="1" hidden="1" x14ac:dyDescent="0.35">
      <c r="B190" s="111" t="str">
        <f>VLOOKUP(C190,Companies[],3,FALSE)</f>
        <v>000170010-5</v>
      </c>
      <c r="C190" s="114" t="s">
        <v>431</v>
      </c>
      <c r="D190" s="111" t="s">
        <v>322</v>
      </c>
      <c r="E190" s="111" t="s">
        <v>508</v>
      </c>
      <c r="F190" s="111" t="s">
        <v>61</v>
      </c>
      <c r="G190" s="111" t="s">
        <v>61</v>
      </c>
      <c r="H190" s="114" t="s">
        <v>431</v>
      </c>
      <c r="I190" s="111" t="s">
        <v>185</v>
      </c>
      <c r="J190" s="118">
        <f>4636081/[1]Sheet1!$T$370</f>
        <v>686692.92200134974</v>
      </c>
      <c r="K190" s="111"/>
      <c r="L190" s="111"/>
      <c r="M190" s="111"/>
      <c r="N190" s="111"/>
    </row>
    <row r="191" spans="2:14" s="26" customFormat="1" hidden="1" x14ac:dyDescent="0.35">
      <c r="B191" s="111" t="str">
        <f>VLOOKUP(C191,Companies[],3,FALSE)</f>
        <v>000170010-5</v>
      </c>
      <c r="C191" s="114" t="s">
        <v>431</v>
      </c>
      <c r="D191" s="111" t="s">
        <v>322</v>
      </c>
      <c r="E191" s="111" t="s">
        <v>498</v>
      </c>
      <c r="F191" s="111" t="s">
        <v>61</v>
      </c>
      <c r="G191" s="111" t="s">
        <v>61</v>
      </c>
      <c r="H191" s="114" t="s">
        <v>431</v>
      </c>
      <c r="I191" s="111" t="s">
        <v>185</v>
      </c>
      <c r="J191" s="118">
        <v>0</v>
      </c>
      <c r="K191" s="111"/>
      <c r="L191" s="111"/>
      <c r="M191" s="111"/>
      <c r="N191" s="111"/>
    </row>
    <row r="192" spans="2:14" s="26" customFormat="1" hidden="1" x14ac:dyDescent="0.35">
      <c r="B192" s="111" t="str">
        <f>VLOOKUP(C192,Companies[],3,FALSE)</f>
        <v>000170010-5</v>
      </c>
      <c r="C192" s="114" t="s">
        <v>431</v>
      </c>
      <c r="D192" s="111" t="s">
        <v>322</v>
      </c>
      <c r="E192" s="111" t="s">
        <v>512</v>
      </c>
      <c r="F192" s="111" t="s">
        <v>61</v>
      </c>
      <c r="G192" s="111" t="s">
        <v>61</v>
      </c>
      <c r="H192" s="114" t="s">
        <v>431</v>
      </c>
      <c r="I192" s="111" t="s">
        <v>185</v>
      </c>
      <c r="J192" s="118">
        <f>883835/[1]Sheet1!$T$370</f>
        <v>130912.99283102753</v>
      </c>
      <c r="K192" s="111"/>
      <c r="L192" s="111"/>
      <c r="M192" s="111"/>
      <c r="N192" s="111"/>
    </row>
    <row r="193" spans="2:14" s="26" customFormat="1" hidden="1" x14ac:dyDescent="0.35">
      <c r="B193" s="111" t="str">
        <f>VLOOKUP(C193,Companies[],3,FALSE)</f>
        <v>000170010-5</v>
      </c>
      <c r="C193" s="114" t="s">
        <v>431</v>
      </c>
      <c r="D193" s="111" t="s">
        <v>322</v>
      </c>
      <c r="E193" s="111" t="s">
        <v>488</v>
      </c>
      <c r="F193" s="111" t="s">
        <v>61</v>
      </c>
      <c r="G193" s="111" t="s">
        <v>61</v>
      </c>
      <c r="H193" s="114" t="s">
        <v>431</v>
      </c>
      <c r="I193" s="111" t="s">
        <v>185</v>
      </c>
      <c r="J193" s="118">
        <f>471607/[1]Sheet1!$T$370</f>
        <v>69854.083409304221</v>
      </c>
      <c r="K193" s="111"/>
      <c r="L193" s="111"/>
      <c r="M193" s="111"/>
      <c r="N193" s="111"/>
    </row>
    <row r="194" spans="2:14" s="26" customFormat="1" hidden="1" x14ac:dyDescent="0.35">
      <c r="B194" s="111" t="str">
        <f>VLOOKUP(C194,Companies[],3,FALSE)</f>
        <v>000170010-5</v>
      </c>
      <c r="C194" s="114" t="s">
        <v>431</v>
      </c>
      <c r="D194" s="22" t="s">
        <v>324</v>
      </c>
      <c r="E194" s="111" t="s">
        <v>506</v>
      </c>
      <c r="F194" s="111" t="s">
        <v>61</v>
      </c>
      <c r="G194" s="111" t="s">
        <v>61</v>
      </c>
      <c r="H194" s="114" t="s">
        <v>431</v>
      </c>
      <c r="I194" s="111" t="s">
        <v>185</v>
      </c>
      <c r="J194" s="118">
        <f>2710321/[1]Sheet1!$T$370</f>
        <v>401450.76133303542</v>
      </c>
      <c r="K194" s="111"/>
      <c r="L194" s="111"/>
      <c r="M194" s="111"/>
      <c r="N194" s="111"/>
    </row>
    <row r="195" spans="2:14" s="26" customFormat="1" hidden="1" x14ac:dyDescent="0.35">
      <c r="B195" s="111" t="str">
        <f>VLOOKUP(C195,Companies[],3,FALSE)</f>
        <v>000170010-5</v>
      </c>
      <c r="C195" s="114" t="s">
        <v>431</v>
      </c>
      <c r="D195" s="22" t="s">
        <v>324</v>
      </c>
      <c r="E195" s="111" t="s">
        <v>493</v>
      </c>
      <c r="F195" s="111" t="s">
        <v>61</v>
      </c>
      <c r="G195" s="111" t="s">
        <v>61</v>
      </c>
      <c r="H195" s="114" t="s">
        <v>431</v>
      </c>
      <c r="I195" s="111" t="s">
        <v>185</v>
      </c>
      <c r="J195" s="118">
        <f>380884/[1]Sheet1!$T$370</f>
        <v>56416.259099778901</v>
      </c>
      <c r="K195" s="111"/>
      <c r="L195" s="111"/>
      <c r="M195" s="111"/>
      <c r="N195" s="111"/>
    </row>
    <row r="196" spans="2:14" s="26" customFormat="1" hidden="1" x14ac:dyDescent="0.35">
      <c r="B196" s="111" t="str">
        <f>VLOOKUP(C196,Companies[],3,FALSE)</f>
        <v>000170010-5</v>
      </c>
      <c r="C196" s="114" t="s">
        <v>431</v>
      </c>
      <c r="D196" s="111" t="s">
        <v>324</v>
      </c>
      <c r="E196" s="111" t="s">
        <v>482</v>
      </c>
      <c r="F196" s="111" t="s">
        <v>61</v>
      </c>
      <c r="G196" s="111" t="s">
        <v>61</v>
      </c>
      <c r="H196" s="114" t="s">
        <v>431</v>
      </c>
      <c r="I196" s="111" t="s">
        <v>185</v>
      </c>
      <c r="J196" s="118">
        <f>225886/[1]Sheet1!$T$370</f>
        <v>33458.06886877017</v>
      </c>
      <c r="K196" s="111"/>
      <c r="L196" s="111"/>
      <c r="M196" s="111"/>
      <c r="N196" s="111"/>
    </row>
    <row r="197" spans="2:14" s="26" customFormat="1" hidden="1" x14ac:dyDescent="0.35">
      <c r="B197" s="111" t="str">
        <f>VLOOKUP(C197,Companies[],3,FALSE)</f>
        <v>000170010-5</v>
      </c>
      <c r="C197" s="114" t="s">
        <v>431</v>
      </c>
      <c r="D197" s="22" t="s">
        <v>324</v>
      </c>
      <c r="E197" s="111" t="s">
        <v>477</v>
      </c>
      <c r="F197" s="111" t="s">
        <v>61</v>
      </c>
      <c r="G197" s="111" t="s">
        <v>61</v>
      </c>
      <c r="H197" s="114" t="s">
        <v>431</v>
      </c>
      <c r="I197" s="111" t="s">
        <v>185</v>
      </c>
      <c r="J197" s="118">
        <f>168261/[1]Sheet1!$T$370</f>
        <v>24922.696076463959</v>
      </c>
      <c r="K197" s="111"/>
      <c r="L197" s="111"/>
      <c r="M197" s="111"/>
      <c r="N197" s="111"/>
    </row>
    <row r="198" spans="2:14" s="26" customFormat="1" hidden="1" x14ac:dyDescent="0.35">
      <c r="B198" s="111" t="str">
        <f>VLOOKUP(C198,Companies[],3,FALSE)</f>
        <v>000170010-5</v>
      </c>
      <c r="C198" s="114" t="s">
        <v>431</v>
      </c>
      <c r="D198" s="22" t="s">
        <v>324</v>
      </c>
      <c r="E198" s="111" t="s">
        <v>510</v>
      </c>
      <c r="F198" s="111" t="s">
        <v>61</v>
      </c>
      <c r="G198" s="111" t="s">
        <v>61</v>
      </c>
      <c r="H198" s="114" t="s">
        <v>431</v>
      </c>
      <c r="I198" s="111" t="s">
        <v>185</v>
      </c>
      <c r="J198" s="118">
        <f>253444/[1]Sheet1!$T$370</f>
        <v>37539.939643787518</v>
      </c>
      <c r="K198" s="111"/>
      <c r="L198" s="111"/>
      <c r="M198" s="111"/>
      <c r="N198" s="111"/>
    </row>
    <row r="199" spans="2:14" s="26" customFormat="1" hidden="1" x14ac:dyDescent="0.35">
      <c r="B199" s="111" t="str">
        <f>VLOOKUP(C199,Companies[],3,FALSE)</f>
        <v>000170010-5</v>
      </c>
      <c r="C199" s="114" t="s">
        <v>431</v>
      </c>
      <c r="D199" s="22" t="s">
        <v>324</v>
      </c>
      <c r="E199" s="111" t="s">
        <v>504</v>
      </c>
      <c r="F199" s="111" t="s">
        <v>61</v>
      </c>
      <c r="G199" s="111" t="s">
        <v>61</v>
      </c>
      <c r="H199" s="114" t="s">
        <v>431</v>
      </c>
      <c r="I199" s="111" t="s">
        <v>185</v>
      </c>
      <c r="J199" s="118">
        <f>253444/[1]Sheet1!$T$370</f>
        <v>37539.939643787518</v>
      </c>
      <c r="K199" s="111"/>
      <c r="L199" s="111"/>
      <c r="M199" s="111"/>
      <c r="N199" s="111"/>
    </row>
    <row r="200" spans="2:14" s="26" customFormat="1" hidden="1" x14ac:dyDescent="0.35">
      <c r="B200" s="111" t="str">
        <f>VLOOKUP(C200,Companies[],3,FALSE)</f>
        <v>000170010-5</v>
      </c>
      <c r="C200" s="114" t="s">
        <v>431</v>
      </c>
      <c r="D200" s="22" t="s">
        <v>324</v>
      </c>
      <c r="E200" s="111" t="s">
        <v>507</v>
      </c>
      <c r="F200" s="111" t="s">
        <v>61</v>
      </c>
      <c r="G200" s="111" t="s">
        <v>61</v>
      </c>
      <c r="H200" s="114" t="s">
        <v>431</v>
      </c>
      <c r="I200" s="111" t="s">
        <v>185</v>
      </c>
      <c r="J200" s="118">
        <f>253444/[1]Sheet1!$T$370</f>
        <v>37539.939643787518</v>
      </c>
      <c r="K200" s="111"/>
      <c r="L200" s="111"/>
      <c r="M200" s="111"/>
      <c r="N200" s="111"/>
    </row>
    <row r="201" spans="2:14" s="26" customFormat="1" hidden="1" x14ac:dyDescent="0.35">
      <c r="B201" s="111" t="str">
        <f>VLOOKUP(C201,Companies[],3,FALSE)</f>
        <v>10005602-2</v>
      </c>
      <c r="C201" s="114" t="s">
        <v>427</v>
      </c>
      <c r="D201" s="111" t="s">
        <v>322</v>
      </c>
      <c r="E201" s="111" t="s">
        <v>508</v>
      </c>
      <c r="F201" s="111" t="s">
        <v>61</v>
      </c>
      <c r="G201" s="111" t="s">
        <v>61</v>
      </c>
      <c r="H201" s="114" t="s">
        <v>427</v>
      </c>
      <c r="I201" s="111" t="s">
        <v>185</v>
      </c>
      <c r="J201" s="118">
        <f>15561402/[1]Sheet1!$T$370</f>
        <v>2304943.466220208</v>
      </c>
      <c r="K201" s="111"/>
      <c r="L201" s="111"/>
      <c r="M201" s="111"/>
      <c r="N201" s="111"/>
    </row>
    <row r="202" spans="2:14" s="26" customFormat="1" hidden="1" x14ac:dyDescent="0.35">
      <c r="B202" s="111" t="str">
        <f>VLOOKUP(C202,Companies[],3,FALSE)</f>
        <v>10005602-2</v>
      </c>
      <c r="C202" s="114" t="s">
        <v>427</v>
      </c>
      <c r="D202" s="111" t="s">
        <v>322</v>
      </c>
      <c r="E202" s="111" t="s">
        <v>498</v>
      </c>
      <c r="F202" s="111" t="s">
        <v>61</v>
      </c>
      <c r="G202" s="111" t="s">
        <v>61</v>
      </c>
      <c r="H202" s="114" t="s">
        <v>427</v>
      </c>
      <c r="I202" s="111" t="s">
        <v>185</v>
      </c>
      <c r="J202" s="118">
        <v>0</v>
      </c>
      <c r="K202" s="111"/>
      <c r="L202" s="111"/>
      <c r="M202" s="111"/>
      <c r="N202" s="111"/>
    </row>
    <row r="203" spans="2:14" s="26" customFormat="1" hidden="1" x14ac:dyDescent="0.35">
      <c r="B203" s="111" t="str">
        <f>VLOOKUP(C203,Companies[],3,FALSE)</f>
        <v>10005602-2</v>
      </c>
      <c r="C203" s="114" t="s">
        <v>427</v>
      </c>
      <c r="D203" s="111" t="s">
        <v>322</v>
      </c>
      <c r="E203" s="111" t="s">
        <v>512</v>
      </c>
      <c r="F203" s="111" t="s">
        <v>61</v>
      </c>
      <c r="G203" s="111" t="s">
        <v>61</v>
      </c>
      <c r="H203" s="114" t="s">
        <v>427</v>
      </c>
      <c r="I203" s="111" t="s">
        <v>185</v>
      </c>
      <c r="J203" s="118">
        <f>698851/[1]Sheet1!$T$370</f>
        <v>103513.29824340111</v>
      </c>
      <c r="K203" s="111"/>
      <c r="L203" s="111"/>
      <c r="M203" s="111"/>
      <c r="N203" s="111"/>
    </row>
    <row r="204" spans="2:14" s="26" customFormat="1" hidden="1" x14ac:dyDescent="0.35">
      <c r="B204" s="111" t="str">
        <f>VLOOKUP(C204,Companies[],3,FALSE)</f>
        <v>10005602-2</v>
      </c>
      <c r="C204" s="114" t="s">
        <v>427</v>
      </c>
      <c r="D204" s="111" t="s">
        <v>322</v>
      </c>
      <c r="E204" s="111" t="s">
        <v>488</v>
      </c>
      <c r="F204" s="111" t="s">
        <v>61</v>
      </c>
      <c r="G204" s="111" t="s">
        <v>61</v>
      </c>
      <c r="H204" s="114" t="s">
        <v>427</v>
      </c>
      <c r="I204" s="111" t="s">
        <v>185</v>
      </c>
      <c r="J204" s="118">
        <f>283228/[1]Sheet1!$T$370</f>
        <v>41951.523908361021</v>
      </c>
      <c r="K204" s="111"/>
      <c r="L204" s="111"/>
      <c r="M204" s="111"/>
      <c r="N204" s="111"/>
    </row>
    <row r="205" spans="2:14" s="26" customFormat="1" hidden="1" x14ac:dyDescent="0.35">
      <c r="B205" s="111" t="str">
        <f>VLOOKUP(C205,Companies[],3,FALSE)</f>
        <v>10005602-2</v>
      </c>
      <c r="C205" s="114" t="s">
        <v>427</v>
      </c>
      <c r="D205" s="22" t="s">
        <v>324</v>
      </c>
      <c r="E205" s="111" t="s">
        <v>506</v>
      </c>
      <c r="F205" s="111" t="s">
        <v>61</v>
      </c>
      <c r="G205" s="111" t="s">
        <v>61</v>
      </c>
      <c r="H205" s="114" t="s">
        <v>427</v>
      </c>
      <c r="I205" s="111" t="s">
        <v>185</v>
      </c>
      <c r="J205" s="118">
        <f>16228176/[1]Sheet1!$T$370</f>
        <v>2403705.5427185539</v>
      </c>
      <c r="K205" s="111"/>
      <c r="L205" s="111"/>
      <c r="M205" s="111"/>
      <c r="N205" s="111"/>
    </row>
    <row r="206" spans="2:14" s="26" customFormat="1" hidden="1" x14ac:dyDescent="0.35">
      <c r="B206" s="111" t="str">
        <f>VLOOKUP(C206,Companies[],3,FALSE)</f>
        <v>10005602-2</v>
      </c>
      <c r="C206" s="114" t="s">
        <v>427</v>
      </c>
      <c r="D206" s="22" t="s">
        <v>324</v>
      </c>
      <c r="E206" s="111" t="s">
        <v>493</v>
      </c>
      <c r="F206" s="111" t="s">
        <v>61</v>
      </c>
      <c r="G206" s="111" t="s">
        <v>61</v>
      </c>
      <c r="H206" s="114" t="s">
        <v>427</v>
      </c>
      <c r="I206" s="111" t="s">
        <v>185</v>
      </c>
      <c r="J206" s="118">
        <f>987400/[1]Sheet1!$T$370</f>
        <v>146252.96477437144</v>
      </c>
      <c r="K206" s="111"/>
      <c r="L206" s="111"/>
      <c r="M206" s="111"/>
      <c r="N206" s="111"/>
    </row>
    <row r="207" spans="2:14" s="26" customFormat="1" hidden="1" x14ac:dyDescent="0.35">
      <c r="B207" s="111" t="str">
        <f>VLOOKUP(C207,Companies[],3,FALSE)</f>
        <v>10005602-2</v>
      </c>
      <c r="C207" s="114" t="s">
        <v>427</v>
      </c>
      <c r="D207" s="111" t="s">
        <v>324</v>
      </c>
      <c r="E207" s="111" t="s">
        <v>482</v>
      </c>
      <c r="F207" s="111" t="s">
        <v>61</v>
      </c>
      <c r="G207" s="111" t="s">
        <v>61</v>
      </c>
      <c r="H207" s="114" t="s">
        <v>427</v>
      </c>
      <c r="I207" s="111" t="s">
        <v>185</v>
      </c>
      <c r="J207" s="118">
        <f>300551/[1]Sheet1!$T$370</f>
        <v>44517.393980050751</v>
      </c>
      <c r="K207" s="111"/>
      <c r="L207" s="111"/>
      <c r="M207" s="111"/>
      <c r="N207" s="111"/>
    </row>
    <row r="208" spans="2:14" s="26" customFormat="1" hidden="1" x14ac:dyDescent="0.35">
      <c r="B208" s="111" t="str">
        <f>VLOOKUP(C208,Companies[],3,FALSE)</f>
        <v>10005602-2</v>
      </c>
      <c r="C208" s="114" t="s">
        <v>427</v>
      </c>
      <c r="D208" s="22" t="s">
        <v>324</v>
      </c>
      <c r="E208" s="111" t="s">
        <v>496</v>
      </c>
      <c r="F208" s="111" t="s">
        <v>61</v>
      </c>
      <c r="G208" s="111" t="s">
        <v>61</v>
      </c>
      <c r="H208" s="114" t="s">
        <v>427</v>
      </c>
      <c r="I208" s="111" t="s">
        <v>185</v>
      </c>
      <c r="J208" s="118">
        <f>40264/[1]Sheet1!$T$370</f>
        <v>5963.8741884497585</v>
      </c>
      <c r="K208" s="111"/>
      <c r="L208" s="111"/>
      <c r="M208" s="111"/>
      <c r="N208" s="111"/>
    </row>
    <row r="209" spans="2:14" s="26" customFormat="1" hidden="1" x14ac:dyDescent="0.35">
      <c r="B209" s="111" t="str">
        <f>VLOOKUP(C209,Companies[],3,FALSE)</f>
        <v>10005602-2</v>
      </c>
      <c r="C209" s="114" t="s">
        <v>427</v>
      </c>
      <c r="D209" s="22" t="s">
        <v>324</v>
      </c>
      <c r="E209" s="111" t="s">
        <v>477</v>
      </c>
      <c r="F209" s="111" t="s">
        <v>61</v>
      </c>
      <c r="G209" s="111" t="s">
        <v>61</v>
      </c>
      <c r="H209" s="114" t="s">
        <v>427</v>
      </c>
      <c r="I209" s="111" t="s">
        <v>185</v>
      </c>
      <c r="J209" s="118">
        <f>748257/[1]Sheet1!$T$370</f>
        <v>110831.27877575131</v>
      </c>
      <c r="K209" s="111"/>
      <c r="L209" s="111"/>
      <c r="M209" s="111"/>
      <c r="N209" s="111"/>
    </row>
    <row r="210" spans="2:14" s="26" customFormat="1" hidden="1" x14ac:dyDescent="0.35">
      <c r="B210" s="111" t="str">
        <f>VLOOKUP(C210,Companies[],3,FALSE)</f>
        <v>10005602-2</v>
      </c>
      <c r="C210" s="114" t="s">
        <v>427</v>
      </c>
      <c r="D210" s="22" t="s">
        <v>324</v>
      </c>
      <c r="E210" s="111" t="s">
        <v>510</v>
      </c>
      <c r="F210" s="111" t="s">
        <v>61</v>
      </c>
      <c r="G210" s="111" t="s">
        <v>61</v>
      </c>
      <c r="H210" s="114" t="s">
        <v>427</v>
      </c>
      <c r="I210" s="111" t="s">
        <v>185</v>
      </c>
      <c r="J210" s="118">
        <f>1279833/[1]Sheet1!$T$370</f>
        <v>189567.92654048826</v>
      </c>
      <c r="K210" s="111"/>
      <c r="L210" s="111"/>
      <c r="M210" s="111"/>
      <c r="N210" s="111"/>
    </row>
    <row r="211" spans="2:14" s="26" customFormat="1" hidden="1" x14ac:dyDescent="0.35">
      <c r="B211" s="111" t="str">
        <f>VLOOKUP(C211,Companies[],3,FALSE)</f>
        <v>10005602-2</v>
      </c>
      <c r="C211" s="114" t="s">
        <v>427</v>
      </c>
      <c r="D211" s="22" t="s">
        <v>324</v>
      </c>
      <c r="E211" s="111" t="s">
        <v>504</v>
      </c>
      <c r="F211" s="111" t="s">
        <v>61</v>
      </c>
      <c r="G211" s="111" t="s">
        <v>61</v>
      </c>
      <c r="H211" s="114" t="s">
        <v>427</v>
      </c>
      <c r="I211" s="111" t="s">
        <v>185</v>
      </c>
      <c r="J211" s="118">
        <f>1279833/[1]Sheet1!$T$370</f>
        <v>189567.92654048826</v>
      </c>
      <c r="K211" s="111"/>
      <c r="L211" s="111"/>
      <c r="M211" s="111"/>
      <c r="N211" s="111"/>
    </row>
    <row r="212" spans="2:14" s="26" customFormat="1" hidden="1" x14ac:dyDescent="0.35">
      <c r="B212" s="111" t="str">
        <f>VLOOKUP(C212,Companies[],3,FALSE)</f>
        <v>10005602-2</v>
      </c>
      <c r="C212" s="114" t="s">
        <v>427</v>
      </c>
      <c r="D212" s="22" t="s">
        <v>324</v>
      </c>
      <c r="E212" s="111" t="s">
        <v>507</v>
      </c>
      <c r="F212" s="111" t="s">
        <v>61</v>
      </c>
      <c r="G212" s="111" t="s">
        <v>61</v>
      </c>
      <c r="H212" s="114" t="s">
        <v>427</v>
      </c>
      <c r="I212" s="111" t="s">
        <v>185</v>
      </c>
      <c r="J212" s="118">
        <f>674200/[1]Sheet1!$T$370</f>
        <v>99862.010179138364</v>
      </c>
      <c r="K212" s="111"/>
      <c r="L212" s="111"/>
      <c r="M212" s="111"/>
      <c r="N212" s="111"/>
    </row>
    <row r="213" spans="2:14" s="26" customFormat="1" hidden="1" x14ac:dyDescent="0.35">
      <c r="B213" s="111" t="str">
        <f>VLOOKUP(C213,Companies[],3,FALSE)</f>
        <v>100040582-6</v>
      </c>
      <c r="C213" s="110" t="s">
        <v>425</v>
      </c>
      <c r="D213" s="111" t="s">
        <v>322</v>
      </c>
      <c r="E213" s="111" t="s">
        <v>488</v>
      </c>
      <c r="F213" s="111" t="s">
        <v>61</v>
      </c>
      <c r="G213" s="111" t="s">
        <v>61</v>
      </c>
      <c r="H213" s="110" t="s">
        <v>425</v>
      </c>
      <c r="I213" s="111" t="s">
        <v>185</v>
      </c>
      <c r="J213" s="118">
        <f>108824/[1]Sheet1!$T$370</f>
        <v>16118.931171365401</v>
      </c>
      <c r="K213" s="111"/>
      <c r="L213" s="111"/>
      <c r="M213" s="111"/>
      <c r="N213" s="111"/>
    </row>
    <row r="214" spans="2:14" s="26" customFormat="1" hidden="1" x14ac:dyDescent="0.35">
      <c r="B214" s="111" t="str">
        <f>VLOOKUP(C214,Companies[],3,FALSE)</f>
        <v>000121621-7</v>
      </c>
      <c r="C214" s="115" t="s">
        <v>366</v>
      </c>
      <c r="D214" s="111" t="s">
        <v>322</v>
      </c>
      <c r="E214" s="111" t="s">
        <v>485</v>
      </c>
      <c r="F214" s="111" t="s">
        <v>61</v>
      </c>
      <c r="G214" s="111" t="s">
        <v>61</v>
      </c>
      <c r="H214" s="115" t="s">
        <v>366</v>
      </c>
      <c r="I214" s="111" t="s">
        <v>185</v>
      </c>
      <c r="J214" s="118">
        <f>515362/[1]Sheet1!$T$370</f>
        <v>76335.04196075513</v>
      </c>
      <c r="K214" s="111"/>
      <c r="L214" s="111"/>
      <c r="M214" s="111"/>
      <c r="N214" s="111"/>
    </row>
    <row r="215" spans="2:14" s="26" customFormat="1" hidden="1" x14ac:dyDescent="0.35">
      <c r="B215" s="111" t="str">
        <f>VLOOKUP(C215,Companies[],3,FALSE)</f>
        <v>000121621-7</v>
      </c>
      <c r="C215" s="115" t="s">
        <v>366</v>
      </c>
      <c r="D215" s="111" t="s">
        <v>322</v>
      </c>
      <c r="E215" s="111" t="s">
        <v>488</v>
      </c>
      <c r="F215" s="111" t="s">
        <v>61</v>
      </c>
      <c r="G215" s="111" t="s">
        <v>61</v>
      </c>
      <c r="H215" s="115" t="s">
        <v>366</v>
      </c>
      <c r="I215" s="111" t="s">
        <v>185</v>
      </c>
      <c r="J215" s="118">
        <f>2545363/[1]Sheet1!$T$370</f>
        <v>377017.30319727404</v>
      </c>
      <c r="K215" s="111"/>
      <c r="L215" s="111"/>
      <c r="M215" s="111"/>
      <c r="N215" s="111"/>
    </row>
    <row r="216" spans="2:14" s="26" customFormat="1" hidden="1" x14ac:dyDescent="0.35">
      <c r="B216" s="111" t="str">
        <f>VLOOKUP(C216,Companies[],3,FALSE)</f>
        <v>000121621-7</v>
      </c>
      <c r="C216" s="115" t="s">
        <v>366</v>
      </c>
      <c r="D216" s="111" t="s">
        <v>322</v>
      </c>
      <c r="E216" s="111" t="s">
        <v>484</v>
      </c>
      <c r="F216" s="111" t="s">
        <v>61</v>
      </c>
      <c r="G216" s="111" t="s">
        <v>61</v>
      </c>
      <c r="H216" s="115" t="s">
        <v>366</v>
      </c>
      <c r="I216" s="111" t="s">
        <v>185</v>
      </c>
      <c r="J216" s="118">
        <f>2491270/[1]Sheet1!$T$370</f>
        <v>369005.08765793836</v>
      </c>
      <c r="K216" s="111"/>
      <c r="L216" s="111"/>
      <c r="M216" s="111"/>
      <c r="N216" s="111"/>
    </row>
    <row r="217" spans="2:14" s="26" customFormat="1" hidden="1" x14ac:dyDescent="0.35">
      <c r="B217" s="111" t="str">
        <f>VLOOKUP(C217,Companies[],3,FALSE)</f>
        <v>000121251-2</v>
      </c>
      <c r="C217" s="114" t="s">
        <v>364</v>
      </c>
      <c r="D217" s="111" t="s">
        <v>322</v>
      </c>
      <c r="E217" s="111" t="s">
        <v>485</v>
      </c>
      <c r="F217" s="111" t="s">
        <v>61</v>
      </c>
      <c r="G217" s="111" t="s">
        <v>61</v>
      </c>
      <c r="H217" s="114" t="s">
        <v>364</v>
      </c>
      <c r="I217" s="111" t="s">
        <v>185</v>
      </c>
      <c r="J217" s="118">
        <f>1672057/[1]Sheet1!$T$370</f>
        <v>247663.85813423252</v>
      </c>
      <c r="K217" s="111"/>
      <c r="L217" s="111"/>
      <c r="M217" s="111"/>
      <c r="N217" s="111"/>
    </row>
    <row r="218" spans="2:14" s="26" customFormat="1" hidden="1" x14ac:dyDescent="0.35">
      <c r="B218" s="111" t="str">
        <f>VLOOKUP(C218,Companies[],3,FALSE)</f>
        <v>000121251-2</v>
      </c>
      <c r="C218" s="114" t="s">
        <v>364</v>
      </c>
      <c r="D218" s="111" t="s">
        <v>322</v>
      </c>
      <c r="E218" s="111" t="s">
        <v>488</v>
      </c>
      <c r="F218" s="111" t="s">
        <v>61</v>
      </c>
      <c r="G218" s="111" t="s">
        <v>61</v>
      </c>
      <c r="H218" s="114" t="s">
        <v>364</v>
      </c>
      <c r="I218" s="111" t="s">
        <v>185</v>
      </c>
      <c r="J218" s="118">
        <f>2562300/[1]Sheet1!$T$370</f>
        <v>379525.99923169124</v>
      </c>
      <c r="K218" s="111"/>
      <c r="L218" s="111"/>
      <c r="M218" s="111"/>
      <c r="N218" s="111"/>
    </row>
    <row r="219" spans="2:14" s="26" customFormat="1" hidden="1" x14ac:dyDescent="0.35">
      <c r="B219" s="111" t="str">
        <f>VLOOKUP(C219,Companies[],3,FALSE)</f>
        <v>000121251-2</v>
      </c>
      <c r="C219" s="114" t="s">
        <v>364</v>
      </c>
      <c r="D219" s="111" t="s">
        <v>322</v>
      </c>
      <c r="E219" s="111" t="s">
        <v>484</v>
      </c>
      <c r="F219" s="111" t="s">
        <v>61</v>
      </c>
      <c r="G219" s="111" t="s">
        <v>61</v>
      </c>
      <c r="H219" s="114" t="s">
        <v>364</v>
      </c>
      <c r="I219" s="111" t="s">
        <v>185</v>
      </c>
      <c r="J219" s="118">
        <f>11866448/[1]Sheet1!$T$370</f>
        <v>1757649.5861260991</v>
      </c>
      <c r="K219" s="111"/>
      <c r="L219" s="111"/>
      <c r="M219" s="111"/>
      <c r="N219" s="111"/>
    </row>
    <row r="220" spans="2:14" s="26" customFormat="1" hidden="1" x14ac:dyDescent="0.35">
      <c r="B220" s="111" t="str">
        <f>VLOOKUP(C220,Companies[],3,FALSE)</f>
        <v>000121251-2</v>
      </c>
      <c r="C220" s="114" t="s">
        <v>364</v>
      </c>
      <c r="D220" s="22" t="s">
        <v>324</v>
      </c>
      <c r="E220" s="111" t="s">
        <v>500</v>
      </c>
      <c r="F220" s="111" t="s">
        <v>61</v>
      </c>
      <c r="G220" s="111" t="s">
        <v>61</v>
      </c>
      <c r="H220" s="114" t="s">
        <v>364</v>
      </c>
      <c r="I220" s="111" t="s">
        <v>185</v>
      </c>
      <c r="J220" s="118">
        <f>1669444/[1]Sheet1!$T$370</f>
        <v>247276.82248813627</v>
      </c>
      <c r="K220" s="111"/>
      <c r="L220" s="111"/>
      <c r="M220" s="111"/>
      <c r="N220" s="111"/>
    </row>
    <row r="221" spans="2:14" s="26" customFormat="1" hidden="1" x14ac:dyDescent="0.35">
      <c r="B221" s="111" t="str">
        <f>VLOOKUP(C221,Companies[],3,FALSE)</f>
        <v>000120072-8</v>
      </c>
      <c r="C221" s="116" t="s">
        <v>360</v>
      </c>
      <c r="D221" s="111" t="s">
        <v>322</v>
      </c>
      <c r="E221" s="111" t="s">
        <v>488</v>
      </c>
      <c r="F221" s="111" t="s">
        <v>61</v>
      </c>
      <c r="G221" s="111" t="s">
        <v>61</v>
      </c>
      <c r="H221" s="116" t="s">
        <v>360</v>
      </c>
      <c r="I221" s="111" t="s">
        <v>185</v>
      </c>
      <c r="J221" s="118">
        <v>0</v>
      </c>
      <c r="K221" s="111"/>
      <c r="L221" s="111"/>
      <c r="M221" s="111"/>
      <c r="N221" s="111"/>
    </row>
    <row r="222" spans="2:14" s="26" customFormat="1" hidden="1" x14ac:dyDescent="0.35">
      <c r="B222" s="111" t="str">
        <f>VLOOKUP(C222,Companies[],3,FALSE)</f>
        <v>000120072-8</v>
      </c>
      <c r="C222" s="116" t="s">
        <v>360</v>
      </c>
      <c r="D222" s="111" t="s">
        <v>322</v>
      </c>
      <c r="E222" s="111" t="s">
        <v>484</v>
      </c>
      <c r="F222" s="111" t="s">
        <v>61</v>
      </c>
      <c r="G222" s="111" t="s">
        <v>61</v>
      </c>
      <c r="H222" s="116" t="s">
        <v>360</v>
      </c>
      <c r="I222" s="111" t="s">
        <v>185</v>
      </c>
      <c r="J222" s="118">
        <v>0</v>
      </c>
      <c r="K222" s="111"/>
      <c r="L222" s="111"/>
      <c r="M222" s="111"/>
      <c r="N222" s="111"/>
    </row>
    <row r="223" spans="2:14" s="26" customFormat="1" hidden="1" x14ac:dyDescent="0.35">
      <c r="B223" s="111" t="str">
        <f>VLOOKUP(C223,Companies[],3,FALSE)</f>
        <v>000131024-5</v>
      </c>
      <c r="C223" s="115" t="s">
        <v>362</v>
      </c>
      <c r="D223" s="111" t="s">
        <v>322</v>
      </c>
      <c r="E223" s="111" t="s">
        <v>488</v>
      </c>
      <c r="F223" s="111" t="s">
        <v>61</v>
      </c>
      <c r="G223" s="111" t="s">
        <v>61</v>
      </c>
      <c r="H223" s="115" t="s">
        <v>362</v>
      </c>
      <c r="I223" s="111" t="s">
        <v>185</v>
      </c>
      <c r="J223" s="118">
        <f>651856/[1]Sheet1!$T$370</f>
        <v>96552.433265102969</v>
      </c>
      <c r="K223" s="111"/>
      <c r="L223" s="111"/>
      <c r="M223" s="111"/>
      <c r="N223" s="111"/>
    </row>
    <row r="224" spans="2:14" s="26" customFormat="1" hidden="1" x14ac:dyDescent="0.35">
      <c r="B224" s="111" t="str">
        <f>VLOOKUP(C224,Companies[],3,FALSE)</f>
        <v>000112940-1</v>
      </c>
      <c r="C224" s="114" t="s">
        <v>356</v>
      </c>
      <c r="D224" s="111" t="s">
        <v>322</v>
      </c>
      <c r="E224" s="111" t="s">
        <v>508</v>
      </c>
      <c r="F224" s="111" t="s">
        <v>61</v>
      </c>
      <c r="G224" s="111" t="s">
        <v>61</v>
      </c>
      <c r="H224" s="114" t="s">
        <v>356</v>
      </c>
      <c r="I224" s="111" t="s">
        <v>185</v>
      </c>
      <c r="J224" s="118">
        <f>300506/[1]Sheet1!$T$370</f>
        <v>44510.728613011204</v>
      </c>
      <c r="K224" s="111"/>
      <c r="L224" s="111"/>
      <c r="M224" s="111"/>
      <c r="N224" s="111"/>
    </row>
    <row r="225" spans="2:14" s="26" customFormat="1" hidden="1" x14ac:dyDescent="0.35">
      <c r="B225" s="111" t="str">
        <f>VLOOKUP(C225,Companies[],3,FALSE)</f>
        <v>000112940-1</v>
      </c>
      <c r="C225" s="114" t="s">
        <v>356</v>
      </c>
      <c r="D225" s="111" t="s">
        <v>322</v>
      </c>
      <c r="E225" s="111" t="s">
        <v>498</v>
      </c>
      <c r="F225" s="111" t="s">
        <v>61</v>
      </c>
      <c r="G225" s="111" t="s">
        <v>61</v>
      </c>
      <c r="H225" s="114" t="s">
        <v>356</v>
      </c>
      <c r="I225" s="111" t="s">
        <v>185</v>
      </c>
      <c r="J225" s="118">
        <f>13117839/[1]Sheet1!$T$370</f>
        <v>1943004.70445906</v>
      </c>
      <c r="K225" s="111"/>
      <c r="L225" s="111"/>
      <c r="M225" s="111"/>
      <c r="N225" s="111"/>
    </row>
    <row r="226" spans="2:14" s="26" customFormat="1" hidden="1" x14ac:dyDescent="0.35">
      <c r="B226" s="111" t="str">
        <f>VLOOKUP(C226,Companies[],3,FALSE)</f>
        <v>000112940-1</v>
      </c>
      <c r="C226" s="114" t="s">
        <v>356</v>
      </c>
      <c r="D226" s="111" t="s">
        <v>322</v>
      </c>
      <c r="E226" s="111" t="s">
        <v>512</v>
      </c>
      <c r="F226" s="111" t="s">
        <v>61</v>
      </c>
      <c r="G226" s="111" t="s">
        <v>61</v>
      </c>
      <c r="H226" s="114" t="s">
        <v>356</v>
      </c>
      <c r="I226" s="111" t="s">
        <v>185</v>
      </c>
      <c r="J226" s="118">
        <f>7712878/[1]Sheet1!$T$370</f>
        <v>1142425.8400273693</v>
      </c>
      <c r="K226" s="111"/>
      <c r="L226" s="111"/>
      <c r="M226" s="111"/>
      <c r="N226" s="111"/>
    </row>
    <row r="227" spans="2:14" s="26" customFormat="1" hidden="1" x14ac:dyDescent="0.35">
      <c r="B227" s="111" t="str">
        <f>VLOOKUP(C227,Companies[],3,FALSE)</f>
        <v>000112940-1</v>
      </c>
      <c r="C227" s="114" t="s">
        <v>356</v>
      </c>
      <c r="D227" s="111" t="s">
        <v>322</v>
      </c>
      <c r="E227" s="111" t="s">
        <v>488</v>
      </c>
      <c r="F227" s="111" t="s">
        <v>61</v>
      </c>
      <c r="G227" s="111" t="s">
        <v>61</v>
      </c>
      <c r="H227" s="114" t="s">
        <v>356</v>
      </c>
      <c r="I227" s="111" t="s">
        <v>185</v>
      </c>
      <c r="J227" s="118">
        <f>1370875/[1]Sheet1!$T$370</f>
        <v>203053.00089636058</v>
      </c>
      <c r="K227" s="111"/>
      <c r="L227" s="111"/>
      <c r="M227" s="111"/>
      <c r="N227" s="111"/>
    </row>
    <row r="228" spans="2:14" s="26" customFormat="1" hidden="1" x14ac:dyDescent="0.35">
      <c r="B228" s="111" t="str">
        <f>VLOOKUP(C228,Companies[],3,FALSE)</f>
        <v>000112940-1</v>
      </c>
      <c r="C228" s="114" t="s">
        <v>356</v>
      </c>
      <c r="D228" s="22" t="s">
        <v>324</v>
      </c>
      <c r="E228" s="111" t="s">
        <v>482</v>
      </c>
      <c r="F228" s="111" t="s">
        <v>61</v>
      </c>
      <c r="G228" s="111" t="s">
        <v>61</v>
      </c>
      <c r="H228" s="114" t="s">
        <v>356</v>
      </c>
      <c r="I228" s="111" t="s">
        <v>185</v>
      </c>
      <c r="J228" s="118">
        <f>2222870/[1]Sheet1!$T$370</f>
        <v>329249.87624874117</v>
      </c>
      <c r="K228" s="111"/>
      <c r="L228" s="111"/>
      <c r="M228" s="111"/>
      <c r="N228" s="111"/>
    </row>
    <row r="229" spans="2:14" s="26" customFormat="1" hidden="1" x14ac:dyDescent="0.35">
      <c r="B229" s="111" t="str">
        <f>VLOOKUP(C229,Companies[],3,FALSE)</f>
        <v>000112940-1</v>
      </c>
      <c r="C229" s="114" t="s">
        <v>356</v>
      </c>
      <c r="D229" s="22" t="s">
        <v>324</v>
      </c>
      <c r="E229" s="111" t="s">
        <v>500</v>
      </c>
      <c r="F229" s="111" t="s">
        <v>61</v>
      </c>
      <c r="G229" s="111" t="s">
        <v>61</v>
      </c>
      <c r="H229" s="114" t="s">
        <v>356</v>
      </c>
      <c r="I229" s="111" t="s">
        <v>185</v>
      </c>
      <c r="J229" s="118">
        <f>382739729/[1]Sheet1!$T$370</f>
        <v>56691128.320021741</v>
      </c>
      <c r="K229" s="111"/>
      <c r="L229" s="111"/>
      <c r="M229" s="111"/>
      <c r="N229" s="111"/>
    </row>
    <row r="230" spans="2:14" s="26" customFormat="1" hidden="1" x14ac:dyDescent="0.35">
      <c r="B230" s="111" t="str">
        <f>VLOOKUP(C230,Companies[],3,FALSE)</f>
        <v>000112940-1</v>
      </c>
      <c r="C230" s="114" t="s">
        <v>356</v>
      </c>
      <c r="D230" s="22" t="s">
        <v>324</v>
      </c>
      <c r="E230" s="111" t="s">
        <v>480</v>
      </c>
      <c r="F230" s="111" t="s">
        <v>61</v>
      </c>
      <c r="G230" s="111" t="s">
        <v>61</v>
      </c>
      <c r="H230" s="114" t="s">
        <v>356</v>
      </c>
      <c r="I230" s="111" t="s">
        <v>185</v>
      </c>
      <c r="J230" s="118">
        <f>5148641/[1]Sheet1!$T$370</f>
        <v>762612.93377444253</v>
      </c>
      <c r="K230" s="111"/>
      <c r="L230" s="111"/>
      <c r="M230" s="111"/>
      <c r="N230" s="111"/>
    </row>
    <row r="231" spans="2:14" s="26" customFormat="1" hidden="1" x14ac:dyDescent="0.35">
      <c r="B231" s="111" t="str">
        <f>VLOOKUP(C231,Companies[],3,FALSE)</f>
        <v>000112940-1</v>
      </c>
      <c r="C231" s="114" t="s">
        <v>356</v>
      </c>
      <c r="D231" s="22" t="s">
        <v>324</v>
      </c>
      <c r="E231" s="111" t="s">
        <v>510</v>
      </c>
      <c r="F231" s="111" t="s">
        <v>61</v>
      </c>
      <c r="G231" s="111" t="s">
        <v>61</v>
      </c>
      <c r="H231" s="114" t="s">
        <v>356</v>
      </c>
      <c r="I231" s="111" t="s">
        <v>185</v>
      </c>
      <c r="J231" s="118">
        <f>2574320/[1]Sheet1!$T$370</f>
        <v>381306.39282758749</v>
      </c>
      <c r="K231" s="111"/>
      <c r="L231" s="111"/>
      <c r="M231" s="111"/>
      <c r="N231" s="111"/>
    </row>
    <row r="232" spans="2:14" s="26" customFormat="1" hidden="1" x14ac:dyDescent="0.35">
      <c r="B232" s="111" t="str">
        <f>VLOOKUP(C232,Companies[],3,FALSE)</f>
        <v>000112940-1</v>
      </c>
      <c r="C232" s="114" t="s">
        <v>356</v>
      </c>
      <c r="D232" s="22" t="s">
        <v>324</v>
      </c>
      <c r="E232" s="111" t="s">
        <v>504</v>
      </c>
      <c r="F232" s="111" t="s">
        <v>61</v>
      </c>
      <c r="G232" s="111" t="s">
        <v>61</v>
      </c>
      <c r="H232" s="114" t="s">
        <v>356</v>
      </c>
      <c r="I232" s="111" t="s">
        <v>185</v>
      </c>
      <c r="J232" s="118">
        <f>2574320/[1]Sheet1!$T$370</f>
        <v>381306.39282758749</v>
      </c>
      <c r="K232" s="111"/>
      <c r="L232" s="111"/>
      <c r="M232" s="111"/>
      <c r="N232" s="111"/>
    </row>
    <row r="233" spans="2:14" s="26" customFormat="1" hidden="1" x14ac:dyDescent="0.35">
      <c r="B233" s="111" t="str">
        <f>VLOOKUP(C233,Companies[],3,FALSE)</f>
        <v>000112940-1</v>
      </c>
      <c r="C233" s="114" t="s">
        <v>356</v>
      </c>
      <c r="D233" s="22" t="s">
        <v>324</v>
      </c>
      <c r="E233" s="111" t="s">
        <v>494</v>
      </c>
      <c r="F233" s="111" t="s">
        <v>61</v>
      </c>
      <c r="G233" s="111" t="s">
        <v>61</v>
      </c>
      <c r="H233" s="114" t="s">
        <v>356</v>
      </c>
      <c r="I233" s="111" t="s">
        <v>185</v>
      </c>
      <c r="J233" s="118">
        <f>111178536/[1]Sheet1!$T$370</f>
        <v>16467683.319094781</v>
      </c>
      <c r="K233" s="111"/>
      <c r="L233" s="111"/>
      <c r="M233" s="111"/>
      <c r="N233" s="111"/>
    </row>
    <row r="234" spans="2:14" s="26" customFormat="1" hidden="1" x14ac:dyDescent="0.35">
      <c r="B234" s="111" t="str">
        <f>VLOOKUP(C234,Companies[],3,FALSE)</f>
        <v>000102707-9</v>
      </c>
      <c r="C234" s="116" t="s">
        <v>368</v>
      </c>
      <c r="D234" s="111" t="s">
        <v>322</v>
      </c>
      <c r="E234" s="111" t="s">
        <v>498</v>
      </c>
      <c r="F234" s="111" t="s">
        <v>61</v>
      </c>
      <c r="G234" s="111" t="s">
        <v>61</v>
      </c>
      <c r="H234" s="116" t="s">
        <v>368</v>
      </c>
      <c r="I234" s="111" t="s">
        <v>185</v>
      </c>
      <c r="J234" s="118">
        <f>73457933/[1]Sheet1!$T$370</f>
        <v>10880535.231362302</v>
      </c>
      <c r="K234" s="111"/>
      <c r="L234" s="111"/>
      <c r="M234" s="111"/>
      <c r="N234" s="111"/>
    </row>
    <row r="235" spans="2:14" s="26" customFormat="1" hidden="1" x14ac:dyDescent="0.35">
      <c r="B235" s="111" t="str">
        <f>VLOOKUP(C235,Companies[],3,FALSE)</f>
        <v>000102707-9</v>
      </c>
      <c r="C235" s="116" t="s">
        <v>368</v>
      </c>
      <c r="D235" s="111" t="s">
        <v>322</v>
      </c>
      <c r="E235" s="111" t="s">
        <v>512</v>
      </c>
      <c r="F235" s="111" t="s">
        <v>61</v>
      </c>
      <c r="G235" s="111" t="s">
        <v>61</v>
      </c>
      <c r="H235" s="116" t="s">
        <v>368</v>
      </c>
      <c r="I235" s="111" t="s">
        <v>185</v>
      </c>
      <c r="J235" s="118">
        <f>7345795/[1]Sheet1!$T$370</f>
        <v>1088053.774938985</v>
      </c>
      <c r="K235" s="111"/>
      <c r="L235" s="111"/>
      <c r="M235" s="111"/>
      <c r="N235" s="111"/>
    </row>
    <row r="236" spans="2:14" s="26" customFormat="1" hidden="1" x14ac:dyDescent="0.35">
      <c r="B236" s="111" t="str">
        <f>VLOOKUP(C236,Companies[],3,FALSE)</f>
        <v>000102707-9</v>
      </c>
      <c r="C236" s="116" t="s">
        <v>368</v>
      </c>
      <c r="D236" s="111" t="s">
        <v>322</v>
      </c>
      <c r="E236" s="111" t="s">
        <v>488</v>
      </c>
      <c r="F236" s="111" t="s">
        <v>61</v>
      </c>
      <c r="G236" s="111" t="s">
        <v>61</v>
      </c>
      <c r="H236" s="116" t="s">
        <v>368</v>
      </c>
      <c r="I236" s="111" t="s">
        <v>185</v>
      </c>
      <c r="J236" s="118">
        <f>800088/[1]Sheet1!$T$370</f>
        <v>118508.44853189922</v>
      </c>
      <c r="K236" s="111"/>
      <c r="L236" s="111"/>
      <c r="M236" s="111"/>
      <c r="N236" s="111"/>
    </row>
    <row r="237" spans="2:14" s="26" customFormat="1" hidden="1" x14ac:dyDescent="0.35">
      <c r="B237" s="111" t="str">
        <f>VLOOKUP(C237,Companies[],3,FALSE)</f>
        <v>000118097-4</v>
      </c>
      <c r="C237" s="113" t="s">
        <v>350</v>
      </c>
      <c r="D237" s="111" t="s">
        <v>324</v>
      </c>
      <c r="E237" s="111" t="s">
        <v>482</v>
      </c>
      <c r="F237" s="111" t="s">
        <v>61</v>
      </c>
      <c r="G237" s="111" t="s">
        <v>61</v>
      </c>
      <c r="H237" s="113" t="s">
        <v>350</v>
      </c>
      <c r="I237" s="111" t="s">
        <v>185</v>
      </c>
      <c r="J237" s="118">
        <f>10315887/[1]Sheet1!$T$370</f>
        <v>1527981.626521568</v>
      </c>
      <c r="K237" s="111"/>
      <c r="L237" s="111"/>
      <c r="M237" s="111"/>
      <c r="N237" s="111"/>
    </row>
    <row r="238" spans="2:14" s="26" customFormat="1" hidden="1" x14ac:dyDescent="0.35">
      <c r="B238" s="111" t="str">
        <f>VLOOKUP(C238,Companies[],3,FALSE)</f>
        <v>000118097-4</v>
      </c>
      <c r="C238" s="113" t="s">
        <v>350</v>
      </c>
      <c r="D238" s="22" t="s">
        <v>324</v>
      </c>
      <c r="E238" s="111" t="s">
        <v>500</v>
      </c>
      <c r="F238" s="111" t="s">
        <v>61</v>
      </c>
      <c r="G238" s="111" t="s">
        <v>61</v>
      </c>
      <c r="H238" s="113" t="s">
        <v>350</v>
      </c>
      <c r="I238" s="111" t="s">
        <v>185</v>
      </c>
      <c r="J238" s="118">
        <f>1354120/[1]Sheet1!$T$370</f>
        <v>200571.26256863668</v>
      </c>
      <c r="K238" s="111"/>
      <c r="L238" s="111"/>
      <c r="M238" s="111"/>
      <c r="N238" s="111"/>
    </row>
    <row r="239" spans="2:14" s="26" customFormat="1" hidden="1" x14ac:dyDescent="0.35">
      <c r="B239" s="111" t="str">
        <f>VLOOKUP(C239,Companies[],3,FALSE)</f>
        <v>000118097-4</v>
      </c>
      <c r="C239" s="113" t="s">
        <v>350</v>
      </c>
      <c r="D239" s="111" t="s">
        <v>324</v>
      </c>
      <c r="E239" s="111" t="s">
        <v>509</v>
      </c>
      <c r="F239" s="111" t="s">
        <v>61</v>
      </c>
      <c r="G239" s="111" t="s">
        <v>61</v>
      </c>
      <c r="H239" s="113" t="s">
        <v>350</v>
      </c>
      <c r="I239" s="111" t="s">
        <v>185</v>
      </c>
      <c r="J239" s="118">
        <v>0</v>
      </c>
      <c r="K239" s="111"/>
      <c r="L239" s="111"/>
      <c r="M239" s="111"/>
      <c r="N239" s="111"/>
    </row>
    <row r="240" spans="2:14" s="26" customFormat="1" hidden="1" x14ac:dyDescent="0.35">
      <c r="B240" s="111" t="str">
        <f>VLOOKUP(C240,Companies[],3,FALSE)</f>
        <v>000118097-4</v>
      </c>
      <c r="C240" s="113" t="s">
        <v>350</v>
      </c>
      <c r="D240" s="22" t="s">
        <v>324</v>
      </c>
      <c r="E240" s="111" t="s">
        <v>549</v>
      </c>
      <c r="F240" s="111" t="s">
        <v>61</v>
      </c>
      <c r="G240" s="111" t="s">
        <v>61</v>
      </c>
      <c r="H240" s="113" t="s">
        <v>350</v>
      </c>
      <c r="I240" s="111" t="s">
        <v>185</v>
      </c>
      <c r="J240" s="118">
        <f>13503400/[1]Sheet1!$T$370</f>
        <v>2000113.717373149</v>
      </c>
      <c r="K240" s="111"/>
      <c r="L240" s="111"/>
      <c r="M240" s="111"/>
      <c r="N240" s="111"/>
    </row>
    <row r="241" spans="2:14" s="26" customFormat="1" hidden="1" x14ac:dyDescent="0.35">
      <c r="B241" s="111" t="str">
        <f>VLOOKUP(C241,Companies[],3,FALSE)</f>
        <v>000118097-4</v>
      </c>
      <c r="C241" s="113" t="s">
        <v>350</v>
      </c>
      <c r="D241" s="22" t="s">
        <v>324</v>
      </c>
      <c r="E241" s="111" t="s">
        <v>507</v>
      </c>
      <c r="F241" s="111" t="s">
        <v>61</v>
      </c>
      <c r="G241" s="111" t="s">
        <v>61</v>
      </c>
      <c r="H241" s="113" t="s">
        <v>350</v>
      </c>
      <c r="I241" s="111" t="s">
        <v>185</v>
      </c>
      <c r="J241" s="118">
        <f>3064914/[1]Sheet1!$T$370</f>
        <v>453972.81676977704</v>
      </c>
      <c r="K241" s="111"/>
      <c r="L241" s="111"/>
      <c r="M241" s="111"/>
      <c r="N241" s="111"/>
    </row>
    <row r="242" spans="2:14" s="26" customFormat="1" hidden="1" x14ac:dyDescent="0.35">
      <c r="B242" s="111"/>
      <c r="C242" s="113" t="s">
        <v>350</v>
      </c>
      <c r="D242" s="22" t="s">
        <v>324</v>
      </c>
      <c r="E242" s="111" t="s">
        <v>480</v>
      </c>
      <c r="F242" s="111" t="s">
        <v>61</v>
      </c>
      <c r="G242" s="111" t="s">
        <v>61</v>
      </c>
      <c r="H242" s="113" t="s">
        <v>350</v>
      </c>
      <c r="I242" s="111" t="s">
        <v>185</v>
      </c>
      <c r="J242" s="118">
        <f>12127430/[1]Sheet1!$T$370</f>
        <v>1796306.0488086443</v>
      </c>
      <c r="K242" s="111"/>
      <c r="L242" s="111"/>
      <c r="M242" s="111"/>
      <c r="N242" s="111"/>
    </row>
    <row r="243" spans="2:14" s="26" customFormat="1" hidden="1" x14ac:dyDescent="0.35">
      <c r="B243" s="111" t="str">
        <f>VLOOKUP(C243,Companies[],3,FALSE)</f>
        <v>000118097-4</v>
      </c>
      <c r="C243" s="113" t="s">
        <v>350</v>
      </c>
      <c r="D243" s="22" t="s">
        <v>324</v>
      </c>
      <c r="E243" s="111" t="s">
        <v>510</v>
      </c>
      <c r="F243" s="111" t="s">
        <v>61</v>
      </c>
      <c r="G243" s="111" t="s">
        <v>61</v>
      </c>
      <c r="H243" s="113" t="s">
        <v>350</v>
      </c>
      <c r="I243" s="111" t="s">
        <v>185</v>
      </c>
      <c r="J243" s="118">
        <f>5081474/[1]Sheet1!$T$370</f>
        <v>752664.20693121769</v>
      </c>
      <c r="K243" s="111"/>
      <c r="L243" s="111"/>
      <c r="M243" s="111"/>
      <c r="N243" s="111"/>
    </row>
    <row r="244" spans="2:14" s="26" customFormat="1" hidden="1" x14ac:dyDescent="0.35">
      <c r="B244" s="111" t="str">
        <f>VLOOKUP(C244,Companies[],3,FALSE)</f>
        <v>000118097-4</v>
      </c>
      <c r="C244" s="113" t="s">
        <v>350</v>
      </c>
      <c r="D244" s="22" t="s">
        <v>324</v>
      </c>
      <c r="E244" s="111" t="s">
        <v>504</v>
      </c>
      <c r="F244" s="111" t="s">
        <v>61</v>
      </c>
      <c r="G244" s="111" t="s">
        <v>61</v>
      </c>
      <c r="H244" s="113" t="s">
        <v>350</v>
      </c>
      <c r="I244" s="111" t="s">
        <v>185</v>
      </c>
      <c r="J244" s="118">
        <f>5081474/[1]Sheet1!$T$370</f>
        <v>752664.20693121769</v>
      </c>
      <c r="K244" s="111"/>
      <c r="L244" s="111"/>
      <c r="M244" s="111"/>
      <c r="N244" s="111"/>
    </row>
    <row r="245" spans="2:14" s="26" customFormat="1" hidden="1" x14ac:dyDescent="0.35">
      <c r="B245" s="111" t="str">
        <f>VLOOKUP(C245,Companies[],3,FALSE)</f>
        <v>000118097-4</v>
      </c>
      <c r="C245" s="113" t="s">
        <v>350</v>
      </c>
      <c r="D245" s="22" t="s">
        <v>324</v>
      </c>
      <c r="E245" s="111" t="s">
        <v>499</v>
      </c>
      <c r="F245" s="111" t="s">
        <v>61</v>
      </c>
      <c r="G245" s="111" t="s">
        <v>61</v>
      </c>
      <c r="H245" s="113" t="s">
        <v>350</v>
      </c>
      <c r="I245" s="111" t="s">
        <v>185</v>
      </c>
      <c r="J245" s="118">
        <v>0</v>
      </c>
      <c r="K245" s="111"/>
      <c r="L245" s="111"/>
      <c r="M245" s="111"/>
      <c r="N245" s="111"/>
    </row>
    <row r="246" spans="2:14" s="26" customFormat="1" hidden="1" x14ac:dyDescent="0.35">
      <c r="B246" s="111" t="str">
        <f>VLOOKUP(C246,Companies[],3,FALSE)</f>
        <v>000118097-4</v>
      </c>
      <c r="C246" s="113" t="s">
        <v>350</v>
      </c>
      <c r="D246" s="22" t="s">
        <v>324</v>
      </c>
      <c r="E246" s="111" t="s">
        <v>494</v>
      </c>
      <c r="F246" s="111" t="s">
        <v>61</v>
      </c>
      <c r="G246" s="111" t="s">
        <v>61</v>
      </c>
      <c r="H246" s="113" t="s">
        <v>350</v>
      </c>
      <c r="I246" s="111" t="s">
        <v>185</v>
      </c>
      <c r="J246" s="118">
        <v>0</v>
      </c>
      <c r="K246" s="111"/>
      <c r="L246" s="111"/>
      <c r="M246" s="111"/>
      <c r="N246" s="111"/>
    </row>
    <row r="247" spans="2:14" s="26" customFormat="1" hidden="1" x14ac:dyDescent="0.35">
      <c r="B247" s="111" t="str">
        <f>VLOOKUP(C247,Companies[],3,FALSE)</f>
        <v>100001211-7</v>
      </c>
      <c r="C247" s="114" t="s">
        <v>348</v>
      </c>
      <c r="D247" s="111" t="s">
        <v>322</v>
      </c>
      <c r="E247" s="111" t="s">
        <v>508</v>
      </c>
      <c r="F247" s="111" t="s">
        <v>61</v>
      </c>
      <c r="G247" s="111" t="s">
        <v>61</v>
      </c>
      <c r="H247" s="114" t="s">
        <v>348</v>
      </c>
      <c r="I247" s="111" t="s">
        <v>185</v>
      </c>
      <c r="J247" s="118">
        <f>699/[1]Sheet1!$T$370</f>
        <v>103.53536801426537</v>
      </c>
      <c r="K247" s="111"/>
      <c r="L247" s="111"/>
      <c r="M247" s="111"/>
      <c r="N247" s="111"/>
    </row>
    <row r="248" spans="2:14" s="26" customFormat="1" hidden="1" x14ac:dyDescent="0.35">
      <c r="B248" s="111" t="str">
        <f>VLOOKUP(C248,Companies[],3,FALSE)</f>
        <v>100001211-7</v>
      </c>
      <c r="C248" s="114" t="s">
        <v>348</v>
      </c>
      <c r="D248" s="111" t="s">
        <v>322</v>
      </c>
      <c r="E248" s="111" t="s">
        <v>488</v>
      </c>
      <c r="F248" s="111" t="s">
        <v>61</v>
      </c>
      <c r="G248" s="111" t="s">
        <v>61</v>
      </c>
      <c r="H248" s="114" t="s">
        <v>348</v>
      </c>
      <c r="I248" s="111" t="s">
        <v>185</v>
      </c>
      <c r="J248" s="118">
        <f>523841/[1]Sheet1!$T$370</f>
        <v>77590.945230272948</v>
      </c>
      <c r="K248" s="111"/>
      <c r="L248" s="111"/>
      <c r="M248" s="111"/>
      <c r="N248" s="111"/>
    </row>
    <row r="249" spans="2:14" s="26" customFormat="1" hidden="1" x14ac:dyDescent="0.35">
      <c r="B249" s="111" t="str">
        <f>VLOOKUP(C249,Companies[],3,FALSE)</f>
        <v>100001211-7</v>
      </c>
      <c r="C249" s="114" t="s">
        <v>348</v>
      </c>
      <c r="D249" s="22" t="s">
        <v>324</v>
      </c>
      <c r="E249" s="111" t="s">
        <v>500</v>
      </c>
      <c r="F249" s="111" t="s">
        <v>61</v>
      </c>
      <c r="G249" s="111" t="s">
        <v>61</v>
      </c>
      <c r="H249" s="114" t="s">
        <v>348</v>
      </c>
      <c r="I249" s="111" t="s">
        <v>185</v>
      </c>
      <c r="J249" s="118">
        <f>45926848/[1]Sheet1!$T$370</f>
        <v>6802651.0864309408</v>
      </c>
      <c r="K249" s="111"/>
      <c r="L249" s="111"/>
      <c r="M249" s="111"/>
      <c r="N249" s="111"/>
    </row>
    <row r="250" spans="2:14" s="26" customFormat="1" hidden="1" x14ac:dyDescent="0.35">
      <c r="B250" s="111" t="str">
        <f>VLOOKUP(C250,Companies[],3,FALSE)</f>
        <v>100001211-7</v>
      </c>
      <c r="C250" s="114" t="s">
        <v>348</v>
      </c>
      <c r="D250" s="22" t="s">
        <v>324</v>
      </c>
      <c r="E250" s="111" t="s">
        <v>510</v>
      </c>
      <c r="F250" s="111" t="s">
        <v>61</v>
      </c>
      <c r="G250" s="111" t="s">
        <v>61</v>
      </c>
      <c r="H250" s="114" t="s">
        <v>348</v>
      </c>
      <c r="I250" s="111" t="s">
        <v>185</v>
      </c>
      <c r="J250" s="118">
        <f>337675/[1]Sheet1!$T$370</f>
        <v>50016.173668407813</v>
      </c>
      <c r="K250" s="111"/>
      <c r="L250" s="111"/>
      <c r="M250" s="111"/>
      <c r="N250" s="111"/>
    </row>
    <row r="251" spans="2:14" s="26" customFormat="1" hidden="1" x14ac:dyDescent="0.35">
      <c r="B251" s="111" t="str">
        <f>VLOOKUP(C251,Companies[],3,FALSE)</f>
        <v>100001211-7</v>
      </c>
      <c r="C251" s="114" t="s">
        <v>348</v>
      </c>
      <c r="D251" s="22" t="s">
        <v>324</v>
      </c>
      <c r="E251" s="111" t="s">
        <v>504</v>
      </c>
      <c r="F251" s="111" t="s">
        <v>61</v>
      </c>
      <c r="G251" s="111" t="s">
        <v>61</v>
      </c>
      <c r="H251" s="114" t="s">
        <v>348</v>
      </c>
      <c r="I251" s="111" t="s">
        <v>185</v>
      </c>
      <c r="J251" s="118">
        <f>337675/[1]Sheet1!$T$370</f>
        <v>50016.173668407813</v>
      </c>
      <c r="K251" s="111"/>
      <c r="L251" s="111"/>
      <c r="M251" s="111"/>
      <c r="N251" s="111"/>
    </row>
    <row r="252" spans="2:14" s="26" customFormat="1" hidden="1" x14ac:dyDescent="0.35">
      <c r="B252" s="111" t="str">
        <f>VLOOKUP(C252,Companies[],3,FALSE)</f>
        <v>000121807-9</v>
      </c>
      <c r="C252" s="113" t="s">
        <v>358</v>
      </c>
      <c r="D252" s="111" t="s">
        <v>322</v>
      </c>
      <c r="E252" s="111" t="s">
        <v>498</v>
      </c>
      <c r="F252" s="111" t="s">
        <v>61</v>
      </c>
      <c r="G252" s="111" t="s">
        <v>61</v>
      </c>
      <c r="H252" s="113" t="s">
        <v>358</v>
      </c>
      <c r="I252" s="111" t="s">
        <v>185</v>
      </c>
      <c r="J252" s="118">
        <f>29798391/[1]Sheet1!$T$370</f>
        <v>4413715.8489527516</v>
      </c>
      <c r="K252" s="111"/>
      <c r="L252" s="111"/>
      <c r="M252" s="111"/>
      <c r="N252" s="111"/>
    </row>
    <row r="253" spans="2:14" s="26" customFormat="1" hidden="1" x14ac:dyDescent="0.35">
      <c r="B253" s="111" t="str">
        <f>VLOOKUP(C253,Companies[],3,FALSE)</f>
        <v>000121807-9</v>
      </c>
      <c r="C253" s="113" t="s">
        <v>358</v>
      </c>
      <c r="D253" s="111" t="s">
        <v>322</v>
      </c>
      <c r="E253" s="111" t="s">
        <v>512</v>
      </c>
      <c r="F253" s="111" t="s">
        <v>61</v>
      </c>
      <c r="G253" s="111" t="s">
        <v>61</v>
      </c>
      <c r="H253" s="113" t="s">
        <v>358</v>
      </c>
      <c r="I253" s="111" t="s">
        <v>185</v>
      </c>
      <c r="J253" s="118">
        <f>1230178/[1]Sheet1!$T$370</f>
        <v>182213.06431051926</v>
      </c>
      <c r="K253" s="111"/>
      <c r="L253" s="111"/>
      <c r="M253" s="111"/>
      <c r="N253" s="111"/>
    </row>
    <row r="254" spans="2:14" s="26" customFormat="1" hidden="1" x14ac:dyDescent="0.35">
      <c r="B254" s="111" t="str">
        <f>VLOOKUP(C254,Companies[],3,FALSE)</f>
        <v>000121807-9</v>
      </c>
      <c r="C254" s="113" t="s">
        <v>358</v>
      </c>
      <c r="D254" s="111" t="s">
        <v>322</v>
      </c>
      <c r="E254" s="111" t="s">
        <v>488</v>
      </c>
      <c r="F254" s="111" t="s">
        <v>61</v>
      </c>
      <c r="G254" s="111" t="s">
        <v>61</v>
      </c>
      <c r="H254" s="113" t="s">
        <v>358</v>
      </c>
      <c r="I254" s="111" t="s">
        <v>185</v>
      </c>
      <c r="J254" s="118">
        <f>400325/[1]Sheet1!$T$370</f>
        <v>59295.845780129879</v>
      </c>
      <c r="K254" s="111"/>
      <c r="L254" s="111"/>
      <c r="M254" s="111"/>
      <c r="N254" s="111"/>
    </row>
    <row r="255" spans="2:14" s="26" customFormat="1" hidden="1" x14ac:dyDescent="0.35">
      <c r="B255" s="111" t="str">
        <f>VLOOKUP(C255,Companies[],3,FALSE)</f>
        <v>000121807-9</v>
      </c>
      <c r="C255" s="113" t="s">
        <v>358</v>
      </c>
      <c r="D255" s="111" t="s">
        <v>322</v>
      </c>
      <c r="E255" s="111" t="s">
        <v>492</v>
      </c>
      <c r="F255" s="111" t="s">
        <v>61</v>
      </c>
      <c r="G255" s="111" t="s">
        <v>61</v>
      </c>
      <c r="H255" s="113" t="s">
        <v>358</v>
      </c>
      <c r="I255" s="111" t="s">
        <v>185</v>
      </c>
      <c r="J255" s="118">
        <f>141488/[1]Sheet1!$T$370</f>
        <v>20957.098926469786</v>
      </c>
      <c r="K255" s="111"/>
      <c r="L255" s="111"/>
      <c r="M255" s="111"/>
      <c r="N255" s="111"/>
    </row>
    <row r="256" spans="2:14" s="26" customFormat="1" hidden="1" x14ac:dyDescent="0.35">
      <c r="B256" s="111" t="str">
        <f>VLOOKUP(C256,Companies[],3,FALSE)</f>
        <v>000121807-9</v>
      </c>
      <c r="C256" s="113" t="s">
        <v>358</v>
      </c>
      <c r="D256" s="22" t="s">
        <v>324</v>
      </c>
      <c r="E256" s="111" t="s">
        <v>506</v>
      </c>
      <c r="F256" s="111" t="s">
        <v>61</v>
      </c>
      <c r="G256" s="111" t="s">
        <v>61</v>
      </c>
      <c r="H256" s="113" t="s">
        <v>358</v>
      </c>
      <c r="I256" s="111" t="s">
        <v>185</v>
      </c>
      <c r="J256" s="118">
        <f>31187481/[1]Sheet1!$T$370</f>
        <v>4619466.8423074521</v>
      </c>
      <c r="K256" s="111"/>
      <c r="L256" s="111"/>
      <c r="M256" s="111"/>
      <c r="N256" s="111"/>
    </row>
    <row r="257" spans="2:14" s="26" customFormat="1" hidden="1" x14ac:dyDescent="0.35">
      <c r="B257" s="111" t="str">
        <f>VLOOKUP(C257,Companies[],3,FALSE)</f>
        <v>000121807-9</v>
      </c>
      <c r="C257" s="113" t="s">
        <v>358</v>
      </c>
      <c r="D257" s="22" t="s">
        <v>324</v>
      </c>
      <c r="E257" s="111" t="s">
        <v>493</v>
      </c>
      <c r="F257" s="111" t="s">
        <v>61</v>
      </c>
      <c r="G257" s="111" t="s">
        <v>61</v>
      </c>
      <c r="H257" s="113" t="s">
        <v>358</v>
      </c>
      <c r="I257" s="111" t="s">
        <v>185</v>
      </c>
      <c r="J257" s="118">
        <f>247945/[1]Sheet1!$T$370</f>
        <v>36725.431791555122</v>
      </c>
      <c r="K257" s="111"/>
      <c r="L257" s="111"/>
      <c r="M257" s="111"/>
      <c r="N257" s="111"/>
    </row>
    <row r="258" spans="2:14" s="26" customFormat="1" hidden="1" x14ac:dyDescent="0.35">
      <c r="B258" s="111" t="str">
        <f>VLOOKUP(C258,Companies[],3,FALSE)</f>
        <v>000121807-9</v>
      </c>
      <c r="C258" s="113" t="s">
        <v>358</v>
      </c>
      <c r="D258" s="111" t="s">
        <v>324</v>
      </c>
      <c r="E258" s="111" t="s">
        <v>482</v>
      </c>
      <c r="F258" s="111" t="s">
        <v>61</v>
      </c>
      <c r="G258" s="111" t="s">
        <v>61</v>
      </c>
      <c r="H258" s="113" t="s">
        <v>358</v>
      </c>
      <c r="I258" s="111" t="s">
        <v>185</v>
      </c>
      <c r="J258" s="118">
        <f>430592/[1]Sheet1!$T$370</f>
        <v>63778.971650927837</v>
      </c>
      <c r="K258" s="111"/>
      <c r="L258" s="111"/>
      <c r="M258" s="111"/>
      <c r="N258" s="111"/>
    </row>
    <row r="259" spans="2:14" s="26" customFormat="1" hidden="1" x14ac:dyDescent="0.35">
      <c r="B259" s="111" t="str">
        <f>VLOOKUP(C259,Companies[],3,FALSE)</f>
        <v>000121807-9</v>
      </c>
      <c r="C259" s="113" t="s">
        <v>358</v>
      </c>
      <c r="D259" s="22" t="s">
        <v>324</v>
      </c>
      <c r="E259" s="111" t="s">
        <v>496</v>
      </c>
      <c r="F259" s="111" t="s">
        <v>61</v>
      </c>
      <c r="G259" s="111" t="s">
        <v>61</v>
      </c>
      <c r="H259" s="113" t="s">
        <v>358</v>
      </c>
      <c r="I259" s="111" t="s">
        <v>185</v>
      </c>
      <c r="J259" s="118">
        <f>788936/[1]Sheet1!$T$370</f>
        <v>116856.62246023244</v>
      </c>
      <c r="K259" s="111"/>
      <c r="L259" s="111"/>
      <c r="M259" s="111"/>
      <c r="N259" s="111"/>
    </row>
    <row r="260" spans="2:14" s="26" customFormat="1" hidden="1" x14ac:dyDescent="0.35">
      <c r="B260" s="111" t="str">
        <f>VLOOKUP(C260,Companies[],3,FALSE)</f>
        <v>000121807-9</v>
      </c>
      <c r="C260" s="113" t="s">
        <v>358</v>
      </c>
      <c r="D260" s="22" t="s">
        <v>324</v>
      </c>
      <c r="E260" s="111" t="s">
        <v>477</v>
      </c>
      <c r="F260" s="111" t="s">
        <v>61</v>
      </c>
      <c r="G260" s="111" t="s">
        <v>61</v>
      </c>
      <c r="H260" s="113" t="s">
        <v>358</v>
      </c>
      <c r="I260" s="111" t="s">
        <v>185</v>
      </c>
      <c r="J260" s="118">
        <v>0</v>
      </c>
      <c r="K260" s="111"/>
      <c r="L260" s="111"/>
      <c r="M260" s="111"/>
      <c r="N260" s="111"/>
    </row>
    <row r="261" spans="2:14" s="26" customFormat="1" hidden="1" x14ac:dyDescent="0.35">
      <c r="B261" s="111" t="str">
        <f>VLOOKUP(C261,Companies[],3,FALSE)</f>
        <v>000121807-9</v>
      </c>
      <c r="C261" s="113" t="s">
        <v>358</v>
      </c>
      <c r="D261" s="22" t="s">
        <v>324</v>
      </c>
      <c r="E261" s="111" t="s">
        <v>510</v>
      </c>
      <c r="F261" s="111" t="s">
        <v>61</v>
      </c>
      <c r="G261" s="111" t="s">
        <v>61</v>
      </c>
      <c r="H261" s="113" t="s">
        <v>358</v>
      </c>
      <c r="I261" s="111" t="s">
        <v>185</v>
      </c>
      <c r="J261" s="118">
        <f>1947173/[1]Sheet1!$T$370</f>
        <v>288413.8385442649</v>
      </c>
      <c r="K261" s="111"/>
      <c r="L261" s="111"/>
      <c r="M261" s="111"/>
      <c r="N261" s="111"/>
    </row>
    <row r="262" spans="2:14" s="26" customFormat="1" hidden="1" x14ac:dyDescent="0.35">
      <c r="B262" s="111" t="str">
        <f>VLOOKUP(C262,Companies[],3,FALSE)</f>
        <v>000121807-9</v>
      </c>
      <c r="C262" s="113" t="s">
        <v>358</v>
      </c>
      <c r="D262" s="22" t="s">
        <v>324</v>
      </c>
      <c r="E262" s="111" t="s">
        <v>504</v>
      </c>
      <c r="F262" s="111" t="s">
        <v>61</v>
      </c>
      <c r="G262" s="111" t="s">
        <v>61</v>
      </c>
      <c r="H262" s="113" t="s">
        <v>358</v>
      </c>
      <c r="I262" s="111" t="s">
        <v>185</v>
      </c>
      <c r="J262" s="118">
        <f>1947173/[1]Sheet1!$T$370</f>
        <v>288413.8385442649</v>
      </c>
      <c r="K262" s="111"/>
      <c r="L262" s="111"/>
      <c r="M262" s="111"/>
      <c r="N262" s="111"/>
    </row>
    <row r="263" spans="2:14" s="26" customFormat="1" hidden="1" x14ac:dyDescent="0.35">
      <c r="B263" s="111" t="str">
        <f>VLOOKUP(C263,Companies[],3,FALSE)</f>
        <v>000128330-5</v>
      </c>
      <c r="C263" s="114" t="s">
        <v>352</v>
      </c>
      <c r="D263" s="111" t="s">
        <v>322</v>
      </c>
      <c r="E263" s="111" t="s">
        <v>508</v>
      </c>
      <c r="F263" s="111" t="s">
        <v>61</v>
      </c>
      <c r="G263" s="111" t="s">
        <v>61</v>
      </c>
      <c r="H263" s="114" t="s">
        <v>352</v>
      </c>
      <c r="I263" s="111" t="s">
        <v>185</v>
      </c>
      <c r="J263" s="118">
        <f>150745/[1]Sheet1!$T$370</f>
        <v>22328.23898613796</v>
      </c>
      <c r="K263" s="111"/>
      <c r="L263" s="111"/>
      <c r="M263" s="111"/>
      <c r="N263" s="111"/>
    </row>
    <row r="264" spans="2:14" s="26" customFormat="1" hidden="1" x14ac:dyDescent="0.35">
      <c r="B264" s="111" t="str">
        <f>VLOOKUP(C264,Companies[],3,FALSE)</f>
        <v>000128330-5</v>
      </c>
      <c r="C264" s="114" t="s">
        <v>352</v>
      </c>
      <c r="D264" s="111" t="s">
        <v>322</v>
      </c>
      <c r="E264" s="111" t="s">
        <v>488</v>
      </c>
      <c r="F264" s="111" t="s">
        <v>61</v>
      </c>
      <c r="G264" s="111" t="s">
        <v>61</v>
      </c>
      <c r="H264" s="114" t="s">
        <v>352</v>
      </c>
      <c r="I264" s="111" t="s">
        <v>185</v>
      </c>
      <c r="J264" s="118">
        <f>82726/[1]Sheet1!$T$370</f>
        <v>12253.314526964403</v>
      </c>
      <c r="K264" s="111"/>
      <c r="L264" s="111"/>
      <c r="M264" s="111"/>
      <c r="N264" s="111"/>
    </row>
    <row r="265" spans="2:14" s="26" customFormat="1" hidden="1" x14ac:dyDescent="0.35">
      <c r="B265" s="111" t="str">
        <f>VLOOKUP(C265,Companies[],3,FALSE)</f>
        <v>000128330-5</v>
      </c>
      <c r="C265" s="114" t="s">
        <v>352</v>
      </c>
      <c r="D265" s="22" t="s">
        <v>324</v>
      </c>
      <c r="E265" s="111" t="s">
        <v>480</v>
      </c>
      <c r="F265" s="111" t="s">
        <v>61</v>
      </c>
      <c r="G265" s="111" t="s">
        <v>61</v>
      </c>
      <c r="H265" s="114" t="s">
        <v>352</v>
      </c>
      <c r="I265" s="111" t="s">
        <v>185</v>
      </c>
      <c r="J265" s="118">
        <f>4872127/[1]Sheet1!$T$370</f>
        <v>721655.8826283816</v>
      </c>
      <c r="K265" s="111"/>
      <c r="L265" s="111"/>
      <c r="M265" s="111"/>
      <c r="N265" s="111"/>
    </row>
    <row r="266" spans="2:14" s="26" customFormat="1" hidden="1" x14ac:dyDescent="0.35">
      <c r="B266" s="111" t="str">
        <f>VLOOKUP(C266,Companies[],3,FALSE)</f>
        <v>000128330-5</v>
      </c>
      <c r="C266" s="114" t="s">
        <v>352</v>
      </c>
      <c r="D266" s="22" t="s">
        <v>324</v>
      </c>
      <c r="E266" s="111" t="s">
        <v>510</v>
      </c>
      <c r="F266" s="111" t="s">
        <v>61</v>
      </c>
      <c r="G266" s="111" t="s">
        <v>61</v>
      </c>
      <c r="H266" s="114" t="s">
        <v>352</v>
      </c>
      <c r="I266" s="111" t="s">
        <v>185</v>
      </c>
      <c r="J266" s="118">
        <f>2436063/[1]Sheet1!$T$370</f>
        <v>360827.86725455703</v>
      </c>
      <c r="K266" s="111"/>
      <c r="L266" s="111"/>
      <c r="M266" s="111"/>
      <c r="N266" s="111"/>
    </row>
    <row r="267" spans="2:14" s="26" customFormat="1" hidden="1" x14ac:dyDescent="0.35">
      <c r="B267" s="111" t="str">
        <f>VLOOKUP(C267,Companies[],3,FALSE)</f>
        <v>000128330-5</v>
      </c>
      <c r="C267" s="114" t="s">
        <v>352</v>
      </c>
      <c r="D267" s="22" t="s">
        <v>324</v>
      </c>
      <c r="E267" s="111" t="s">
        <v>504</v>
      </c>
      <c r="F267" s="111" t="s">
        <v>61</v>
      </c>
      <c r="G267" s="111" t="s">
        <v>61</v>
      </c>
      <c r="H267" s="114" t="s">
        <v>352</v>
      </c>
      <c r="I267" s="111" t="s">
        <v>185</v>
      </c>
      <c r="J267" s="118">
        <f>2436063/[1]Sheet1!$T$370</f>
        <v>360827.86725455703</v>
      </c>
      <c r="K267" s="111"/>
      <c r="L267" s="111"/>
      <c r="M267" s="111"/>
      <c r="N267" s="111"/>
    </row>
    <row r="268" spans="2:14" s="26" customFormat="1" hidden="1" x14ac:dyDescent="0.35">
      <c r="B268" s="111" t="str">
        <f>VLOOKUP(C268,Companies[],3,FALSE)</f>
        <v>000128330-5</v>
      </c>
      <c r="C268" s="114" t="s">
        <v>352</v>
      </c>
      <c r="D268" s="22" t="s">
        <v>324</v>
      </c>
      <c r="E268" s="111" t="s">
        <v>500</v>
      </c>
      <c r="F268" s="111" t="s">
        <v>61</v>
      </c>
      <c r="G268" s="111" t="s">
        <v>61</v>
      </c>
      <c r="H268" s="114" t="s">
        <v>352</v>
      </c>
      <c r="I268" s="111" t="s">
        <v>185</v>
      </c>
      <c r="J268" s="118">
        <f>40502155/[1]Sheet1!$T$370</f>
        <v>5999149.5326120434</v>
      </c>
      <c r="K268" s="111"/>
      <c r="L268" s="111"/>
      <c r="M268" s="111"/>
      <c r="N268" s="111"/>
    </row>
    <row r="269" spans="2:14" s="26" customFormat="1" hidden="1" x14ac:dyDescent="0.35">
      <c r="B269" s="111" t="str">
        <f>VLOOKUP(C269,Companies[],3,FALSE)</f>
        <v>000128330-5</v>
      </c>
      <c r="C269" s="114" t="s">
        <v>352</v>
      </c>
      <c r="D269" s="111" t="s">
        <v>324</v>
      </c>
      <c r="E269" s="111" t="s">
        <v>482</v>
      </c>
      <c r="F269" s="111" t="s">
        <v>61</v>
      </c>
      <c r="G269" s="111" t="s">
        <v>61</v>
      </c>
      <c r="H269" s="114" t="s">
        <v>352</v>
      </c>
      <c r="I269" s="111" t="s">
        <v>185</v>
      </c>
      <c r="J269" s="118">
        <f>369629/[1]Sheet1!$T$370</f>
        <v>54749.176743554934</v>
      </c>
      <c r="K269" s="111"/>
      <c r="L269" s="111"/>
      <c r="M269" s="111"/>
      <c r="N269" s="111"/>
    </row>
    <row r="270" spans="2:14" s="26" customFormat="1" hidden="1" x14ac:dyDescent="0.35">
      <c r="B270" s="111" t="str">
        <f>VLOOKUP(C270,Companies[],3,FALSE)</f>
        <v>000128330-5</v>
      </c>
      <c r="C270" s="114" t="s">
        <v>352</v>
      </c>
      <c r="D270" s="22" t="s">
        <v>324</v>
      </c>
      <c r="E270" s="111" t="s">
        <v>502</v>
      </c>
      <c r="F270" s="111" t="s">
        <v>61</v>
      </c>
      <c r="G270" s="111" t="s">
        <v>61</v>
      </c>
      <c r="H270" s="114" t="s">
        <v>352</v>
      </c>
      <c r="I270" s="111" t="s">
        <v>185</v>
      </c>
      <c r="J270" s="118">
        <v>0</v>
      </c>
      <c r="K270" s="111"/>
      <c r="L270" s="111"/>
      <c r="M270" s="111"/>
      <c r="N270" s="111"/>
    </row>
    <row r="271" spans="2:14" s="26" customFormat="1" hidden="1" x14ac:dyDescent="0.35">
      <c r="B271" s="111" t="str">
        <f>VLOOKUP(C271,Companies[],3,FALSE)</f>
        <v>000100429-6</v>
      </c>
      <c r="C271" s="113" t="s">
        <v>354</v>
      </c>
      <c r="D271" s="111" t="s">
        <v>322</v>
      </c>
      <c r="E271" s="111" t="s">
        <v>508</v>
      </c>
      <c r="F271" s="111" t="s">
        <v>61</v>
      </c>
      <c r="G271" s="111" t="s">
        <v>61</v>
      </c>
      <c r="H271" s="113" t="s">
        <v>354</v>
      </c>
      <c r="I271" s="111" t="s">
        <v>185</v>
      </c>
      <c r="J271" s="118">
        <f>451590/[1]Sheet1!$T$370</f>
        <v>66889.18003084707</v>
      </c>
      <c r="K271" s="111"/>
      <c r="L271" s="111"/>
      <c r="M271" s="111"/>
      <c r="N271" s="111"/>
    </row>
    <row r="272" spans="2:14" s="26" customFormat="1" hidden="1" x14ac:dyDescent="0.35">
      <c r="B272" s="111" t="str">
        <f>VLOOKUP(C272,Companies[],3,FALSE)</f>
        <v>000100429-6</v>
      </c>
      <c r="C272" s="113" t="s">
        <v>354</v>
      </c>
      <c r="D272" s="111" t="s">
        <v>322</v>
      </c>
      <c r="E272" s="111" t="s">
        <v>488</v>
      </c>
      <c r="F272" s="111" t="s">
        <v>61</v>
      </c>
      <c r="G272" s="111" t="s">
        <v>61</v>
      </c>
      <c r="H272" s="113" t="s">
        <v>354</v>
      </c>
      <c r="I272" s="111" t="s">
        <v>185</v>
      </c>
      <c r="J272" s="118">
        <f>932374/[1]Sheet1!$T$370</f>
        <v>138102.55395841584</v>
      </c>
      <c r="K272" s="111"/>
      <c r="L272" s="111"/>
      <c r="M272" s="111"/>
      <c r="N272" s="111"/>
    </row>
    <row r="273" spans="2:14" s="26" customFormat="1" hidden="1" x14ac:dyDescent="0.35">
      <c r="B273" s="111" t="str">
        <f>VLOOKUP(C273,Companies[],3,FALSE)</f>
        <v>000104756-7</v>
      </c>
      <c r="C273" s="110" t="s">
        <v>433</v>
      </c>
      <c r="D273" s="111" t="s">
        <v>322</v>
      </c>
      <c r="E273" s="111" t="s">
        <v>488</v>
      </c>
      <c r="F273" s="111" t="s">
        <v>61</v>
      </c>
      <c r="G273" s="111" t="s">
        <v>61</v>
      </c>
      <c r="H273" s="113" t="s">
        <v>433</v>
      </c>
      <c r="I273" s="111" t="s">
        <v>185</v>
      </c>
      <c r="J273" s="118">
        <f>272647/[1]Sheet1!$T$370</f>
        <v>40384.273938462677</v>
      </c>
      <c r="K273" s="111"/>
      <c r="L273" s="111"/>
      <c r="M273" s="111"/>
      <c r="N273" s="111"/>
    </row>
    <row r="274" spans="2:14" s="26" customFormat="1" hidden="1" x14ac:dyDescent="0.35">
      <c r="B274" s="111" t="str">
        <f>VLOOKUP(C274,Companies[],3,FALSE)</f>
        <v>000104756-7</v>
      </c>
      <c r="C274" s="110" t="s">
        <v>433</v>
      </c>
      <c r="D274" s="111" t="s">
        <v>322</v>
      </c>
      <c r="E274" s="111" t="s">
        <v>492</v>
      </c>
      <c r="F274" s="111" t="s">
        <v>61</v>
      </c>
      <c r="G274" s="111" t="s">
        <v>61</v>
      </c>
      <c r="H274" s="113" t="s">
        <v>433</v>
      </c>
      <c r="I274" s="111" t="s">
        <v>185</v>
      </c>
      <c r="J274" s="118">
        <f>1101/[1]Sheet1!$T$370</f>
        <v>163.07931356753389</v>
      </c>
      <c r="K274" s="111"/>
      <c r="L274" s="111"/>
      <c r="M274" s="111"/>
      <c r="N274" s="111"/>
    </row>
    <row r="275" spans="2:14" s="26" customFormat="1" hidden="1" x14ac:dyDescent="0.35">
      <c r="B275" s="111" t="str">
        <f>VLOOKUP(C275,Companies[],3,FALSE)</f>
        <v>000104756-7</v>
      </c>
      <c r="C275" s="110" t="s">
        <v>433</v>
      </c>
      <c r="D275" s="111" t="s">
        <v>322</v>
      </c>
      <c r="E275" s="111" t="s">
        <v>484</v>
      </c>
      <c r="F275" s="111" t="s">
        <v>61</v>
      </c>
      <c r="G275" s="111" t="s">
        <v>61</v>
      </c>
      <c r="H275" s="113" t="s">
        <v>433</v>
      </c>
      <c r="I275" s="111" t="s">
        <v>185</v>
      </c>
      <c r="J275" s="118">
        <f>435732/[1]Sheet1!$T$370</f>
        <v>64540.30468611142</v>
      </c>
      <c r="K275" s="111"/>
      <c r="L275" s="111"/>
      <c r="M275" s="111"/>
      <c r="N275" s="111"/>
    </row>
    <row r="276" spans="2:14" s="26" customFormat="1" hidden="1" x14ac:dyDescent="0.35">
      <c r="B276" s="111" t="str">
        <f>VLOOKUP(C276,Companies[],3,FALSE)</f>
        <v>000104756-7</v>
      </c>
      <c r="C276" s="110" t="s">
        <v>433</v>
      </c>
      <c r="D276" s="22" t="s">
        <v>324</v>
      </c>
      <c r="E276" s="111" t="s">
        <v>506</v>
      </c>
      <c r="F276" s="111" t="s">
        <v>61</v>
      </c>
      <c r="G276" s="111" t="s">
        <v>61</v>
      </c>
      <c r="H276" s="113" t="s">
        <v>433</v>
      </c>
      <c r="I276" s="111" t="s">
        <v>185</v>
      </c>
      <c r="J276" s="118">
        <f>325770/[1]Sheet1!$T$370</f>
        <v>48252.813788279302</v>
      </c>
      <c r="K276" s="111"/>
      <c r="L276" s="111"/>
      <c r="M276" s="111"/>
      <c r="N276" s="111"/>
    </row>
    <row r="277" spans="2:14" s="26" customFormat="1" hidden="1" x14ac:dyDescent="0.35">
      <c r="B277" s="111" t="str">
        <f>VLOOKUP(C277,Companies[],3,FALSE)</f>
        <v>000104806-1</v>
      </c>
      <c r="C277" s="113" t="s">
        <v>437</v>
      </c>
      <c r="D277" s="111" t="s">
        <v>322</v>
      </c>
      <c r="E277" s="111" t="s">
        <v>488</v>
      </c>
      <c r="F277" s="111" t="s">
        <v>61</v>
      </c>
      <c r="G277" s="111" t="s">
        <v>61</v>
      </c>
      <c r="H277" s="113" t="s">
        <v>437</v>
      </c>
      <c r="I277" s="111" t="s">
        <v>185</v>
      </c>
      <c r="J277" s="118">
        <v>0</v>
      </c>
      <c r="K277" s="111"/>
      <c r="L277" s="111"/>
      <c r="M277" s="111"/>
      <c r="N277" s="111"/>
    </row>
    <row r="278" spans="2:14" s="26" customFormat="1" hidden="1" x14ac:dyDescent="0.35">
      <c r="B278" s="111" t="str">
        <f>VLOOKUP(C278,Companies[],3,FALSE)</f>
        <v>000104806-1</v>
      </c>
      <c r="C278" s="113" t="s">
        <v>437</v>
      </c>
      <c r="D278" s="111" t="s">
        <v>322</v>
      </c>
      <c r="E278" s="111" t="s">
        <v>484</v>
      </c>
      <c r="F278" s="111" t="s">
        <v>61</v>
      </c>
      <c r="G278" s="111" t="s">
        <v>61</v>
      </c>
      <c r="H278" s="113" t="s">
        <v>437</v>
      </c>
      <c r="I278" s="111" t="s">
        <v>185</v>
      </c>
      <c r="J278" s="118">
        <v>0</v>
      </c>
      <c r="K278" s="111"/>
      <c r="L278" s="111"/>
      <c r="M278" s="111"/>
      <c r="N278" s="111"/>
    </row>
    <row r="279" spans="2:14" s="26" customFormat="1" hidden="1" x14ac:dyDescent="0.35">
      <c r="B279" s="111" t="str">
        <f>VLOOKUP(C279,Companies[],3,FALSE)</f>
        <v>000104806-1</v>
      </c>
      <c r="C279" s="113" t="s">
        <v>437</v>
      </c>
      <c r="D279" s="22" t="s">
        <v>324</v>
      </c>
      <c r="E279" s="111" t="s">
        <v>506</v>
      </c>
      <c r="F279" s="111" t="s">
        <v>61</v>
      </c>
      <c r="G279" s="111" t="s">
        <v>61</v>
      </c>
      <c r="H279" s="113" t="s">
        <v>437</v>
      </c>
      <c r="I279" s="111" t="s">
        <v>185</v>
      </c>
      <c r="J279" s="118">
        <f>48940/[1]Sheet1!$T$370</f>
        <v>7248.956953674031</v>
      </c>
      <c r="K279" s="111"/>
      <c r="L279" s="111"/>
      <c r="M279" s="111"/>
      <c r="N279" s="111"/>
    </row>
    <row r="280" spans="2:14" s="26" customFormat="1" hidden="1" x14ac:dyDescent="0.35">
      <c r="B280" s="111" t="str">
        <f>VLOOKUP(C280,Companies[],3,FALSE)</f>
        <v>000118944-1</v>
      </c>
      <c r="C280" s="113" t="s">
        <v>440</v>
      </c>
      <c r="D280" s="111" t="s">
        <v>322</v>
      </c>
      <c r="E280" s="111" t="s">
        <v>488</v>
      </c>
      <c r="F280" s="111" t="s">
        <v>61</v>
      </c>
      <c r="G280" s="111" t="s">
        <v>61</v>
      </c>
      <c r="H280" s="113" t="s">
        <v>440</v>
      </c>
      <c r="I280" s="111" t="s">
        <v>185</v>
      </c>
      <c r="J280" s="118">
        <f>90971/[1]Sheet1!$T$370</f>
        <v>13474.557887876588</v>
      </c>
      <c r="K280" s="111"/>
      <c r="L280" s="111"/>
      <c r="M280" s="111"/>
      <c r="N280" s="111"/>
    </row>
    <row r="281" spans="2:14" s="26" customFormat="1" hidden="1" x14ac:dyDescent="0.35">
      <c r="B281" s="111" t="str">
        <f>VLOOKUP(C281,Companies[],3,FALSE)</f>
        <v>000118944-1</v>
      </c>
      <c r="C281" s="113" t="s">
        <v>440</v>
      </c>
      <c r="D281" s="111" t="s">
        <v>322</v>
      </c>
      <c r="E281" s="111" t="s">
        <v>484</v>
      </c>
      <c r="F281" s="111" t="s">
        <v>61</v>
      </c>
      <c r="G281" s="111" t="s">
        <v>61</v>
      </c>
      <c r="H281" s="113" t="s">
        <v>440</v>
      </c>
      <c r="I281" s="111" t="s">
        <v>185</v>
      </c>
      <c r="J281" s="118">
        <f>181944/[1]Sheet1!$T$370</f>
        <v>26949.412014288268</v>
      </c>
      <c r="K281" s="111"/>
      <c r="L281" s="111"/>
      <c r="M281" s="111"/>
      <c r="N281" s="111"/>
    </row>
    <row r="282" spans="2:14" s="26" customFormat="1" ht="15.6" thickBot="1" x14ac:dyDescent="0.4">
      <c r="B282" s="111"/>
      <c r="C282" s="111"/>
      <c r="D282" s="111"/>
      <c r="E282" s="111"/>
      <c r="F282" s="111"/>
      <c r="G282" s="268"/>
      <c r="H282" s="111"/>
      <c r="I282" s="111"/>
      <c r="J282" s="111"/>
      <c r="K282" s="111"/>
      <c r="L282" s="111"/>
      <c r="M282" s="111"/>
      <c r="N282" s="111"/>
    </row>
    <row r="283" spans="2:14" s="26" customFormat="1" ht="15.6" thickBot="1" x14ac:dyDescent="0.4">
      <c r="B283" s="111"/>
      <c r="C283" s="111"/>
      <c r="D283" s="111"/>
      <c r="E283" s="111"/>
      <c r="F283" s="111"/>
      <c r="G283" s="268"/>
      <c r="H283" s="78" t="s">
        <v>516</v>
      </c>
      <c r="I283" s="79"/>
      <c r="J283" s="80">
        <f>SUMIF(Table10[Reporting currency],"USD",Table10[Revenue value])+(IFERROR(SUMIF(Table10[Reporting currency],"&lt;&gt;USD",Table10[Revenue value])/#REF!,0))</f>
        <v>976771431.57496643</v>
      </c>
      <c r="K283" s="111"/>
      <c r="L283" s="111"/>
      <c r="M283" s="111"/>
      <c r="N283" s="111"/>
    </row>
    <row r="284" spans="2:14" s="26" customFormat="1" ht="15.6" thickBot="1" x14ac:dyDescent="0.4">
      <c r="B284" s="111"/>
      <c r="C284" s="111"/>
      <c r="D284" s="111"/>
      <c r="E284" s="111"/>
      <c r="F284" s="111"/>
      <c r="G284" s="268"/>
      <c r="H284" s="105"/>
      <c r="I284" s="105"/>
      <c r="J284" s="106"/>
      <c r="K284" s="111"/>
      <c r="L284" s="111"/>
      <c r="M284" s="111"/>
      <c r="N284" s="111"/>
    </row>
    <row r="285" spans="2:14" s="26" customFormat="1" ht="16.8" thickBot="1" x14ac:dyDescent="0.4">
      <c r="B285" s="111"/>
      <c r="C285" s="111"/>
      <c r="D285" s="111"/>
      <c r="E285" s="111"/>
      <c r="F285" s="111"/>
      <c r="G285" s="268"/>
      <c r="H285" s="104" t="str">
        <f>"Total in "&amp;'Part 1 - About'!$E$44</f>
        <v>Total in TTD</v>
      </c>
      <c r="I285" s="79"/>
      <c r="J285" s="80">
        <f>IF('Part 1 - About'!$E$44="USD",0,SUMIF(Table10[Reporting currency],'Part 1 - About'!$E$44,Table10[Revenue value]))+(IFERROR(SUMIF(Table10[Reporting currency],"USD",Table10[Revenue value])*'Part 1 - About'!$E$45,0))</f>
        <v>6564294728.7564039</v>
      </c>
      <c r="K285" s="111"/>
      <c r="L285" s="111"/>
      <c r="M285" s="111"/>
      <c r="N285" s="111"/>
    </row>
    <row r="286" spans="2:14" s="26" customFormat="1" x14ac:dyDescent="0.35">
      <c r="B286" s="111"/>
      <c r="C286" s="111"/>
      <c r="D286" s="111"/>
      <c r="E286" s="111"/>
      <c r="F286" s="111"/>
      <c r="G286" s="111"/>
      <c r="H286" s="111"/>
      <c r="I286" s="111"/>
      <c r="J286" s="111"/>
      <c r="K286" s="111"/>
      <c r="L286" s="111"/>
      <c r="M286" s="111"/>
      <c r="N286" s="111"/>
    </row>
    <row r="287" spans="2:14" ht="23.25" customHeight="1" x14ac:dyDescent="0.35">
      <c r="C287" s="331" t="s">
        <v>517</v>
      </c>
      <c r="D287" s="331"/>
      <c r="E287" s="331"/>
      <c r="F287" s="331"/>
      <c r="G287" s="331"/>
      <c r="H287" s="331"/>
      <c r="I287" s="331"/>
      <c r="J287" s="331"/>
      <c r="K287" s="331"/>
      <c r="L287" s="331"/>
      <c r="M287" s="331"/>
      <c r="N287" s="331"/>
    </row>
    <row r="288" spans="2:14" s="26" customFormat="1" x14ac:dyDescent="0.35">
      <c r="B288" s="111"/>
      <c r="C288" s="329" t="s">
        <v>518</v>
      </c>
      <c r="D288" s="329"/>
      <c r="E288" s="329"/>
      <c r="F288" s="329"/>
      <c r="G288" s="329"/>
      <c r="H288" s="329"/>
      <c r="I288" s="329"/>
      <c r="J288" s="329"/>
      <c r="K288" s="329"/>
      <c r="L288" s="329"/>
      <c r="M288" s="329"/>
      <c r="N288" s="329"/>
    </row>
    <row r="289" spans="2:14" s="26" customFormat="1" x14ac:dyDescent="0.35">
      <c r="B289" s="111"/>
      <c r="C289" s="329"/>
      <c r="D289" s="329"/>
      <c r="E289" s="329"/>
      <c r="F289" s="329"/>
      <c r="G289" s="329"/>
      <c r="H289" s="329"/>
      <c r="I289" s="329"/>
      <c r="J289" s="329"/>
      <c r="K289" s="329"/>
      <c r="L289" s="329"/>
      <c r="M289" s="329"/>
      <c r="N289" s="329"/>
    </row>
    <row r="290" spans="2:14" s="26" customFormat="1" x14ac:dyDescent="0.35">
      <c r="B290" s="111"/>
      <c r="C290" s="329" t="s">
        <v>519</v>
      </c>
      <c r="D290" s="329"/>
      <c r="E290" s="329"/>
      <c r="F290" s="329"/>
      <c r="G290" s="329"/>
      <c r="H290" s="329"/>
      <c r="I290" s="329"/>
      <c r="J290" s="329"/>
      <c r="K290" s="329"/>
      <c r="L290" s="329"/>
      <c r="M290" s="329"/>
      <c r="N290" s="329"/>
    </row>
    <row r="291" spans="2:14" s="26" customFormat="1" x14ac:dyDescent="0.35">
      <c r="B291" s="111"/>
      <c r="C291" s="329" t="s">
        <v>521</v>
      </c>
      <c r="D291" s="329"/>
      <c r="E291" s="329"/>
      <c r="F291" s="329"/>
      <c r="G291" s="329"/>
      <c r="H291" s="329"/>
      <c r="I291" s="329"/>
      <c r="J291" s="329"/>
      <c r="K291" s="329"/>
      <c r="L291" s="329"/>
      <c r="M291" s="329"/>
      <c r="N291" s="329"/>
    </row>
    <row r="292" spans="2:14" s="26" customFormat="1" x14ac:dyDescent="0.35">
      <c r="B292" s="111"/>
      <c r="C292" s="329" t="s">
        <v>526</v>
      </c>
      <c r="D292" s="329"/>
      <c r="E292" s="329"/>
      <c r="F292" s="329"/>
      <c r="G292" s="329"/>
      <c r="H292" s="329"/>
      <c r="I292" s="329"/>
      <c r="J292" s="329"/>
      <c r="K292" s="329"/>
      <c r="L292" s="329"/>
      <c r="M292" s="329"/>
      <c r="N292" s="329"/>
    </row>
    <row r="293" spans="2:14" s="26" customFormat="1" x14ac:dyDescent="0.35">
      <c r="B293" s="111"/>
      <c r="C293" s="329" t="s">
        <v>528</v>
      </c>
      <c r="D293" s="329"/>
      <c r="E293" s="329"/>
      <c r="F293" s="329"/>
      <c r="G293" s="329"/>
      <c r="H293" s="329"/>
      <c r="I293" s="329"/>
      <c r="J293" s="329"/>
      <c r="K293" s="329"/>
      <c r="L293" s="329"/>
      <c r="M293" s="329"/>
      <c r="N293" s="329"/>
    </row>
    <row r="294" spans="2:14" s="26" customFormat="1" x14ac:dyDescent="0.35">
      <c r="B294" s="111"/>
      <c r="C294" s="329" t="s">
        <v>529</v>
      </c>
      <c r="D294" s="329"/>
      <c r="E294" s="329"/>
      <c r="F294" s="329"/>
      <c r="G294" s="329"/>
      <c r="H294" s="329"/>
      <c r="I294" s="329"/>
      <c r="J294" s="329"/>
      <c r="K294" s="329"/>
      <c r="L294" s="329"/>
      <c r="M294" s="329"/>
      <c r="N294" s="329"/>
    </row>
    <row r="295" spans="2:14" s="26" customFormat="1" x14ac:dyDescent="0.35">
      <c r="B295" s="111"/>
      <c r="C295" s="329"/>
      <c r="D295" s="329"/>
      <c r="E295" s="329"/>
      <c r="F295" s="329"/>
      <c r="G295" s="329"/>
      <c r="H295" s="329"/>
      <c r="I295" s="329"/>
      <c r="J295" s="329"/>
      <c r="K295" s="329"/>
      <c r="L295" s="329"/>
      <c r="M295" s="329"/>
      <c r="N295" s="329"/>
    </row>
    <row r="296" spans="2:14" s="26" customFormat="1" ht="16.5" customHeight="1" thickBot="1" x14ac:dyDescent="0.4">
      <c r="B296" s="111"/>
      <c r="C296" s="333"/>
      <c r="D296" s="333"/>
      <c r="E296" s="333"/>
      <c r="F296" s="333"/>
      <c r="G296" s="333"/>
      <c r="H296" s="333"/>
      <c r="I296" s="333"/>
      <c r="J296" s="333"/>
      <c r="K296" s="333"/>
      <c r="L296" s="333"/>
      <c r="M296" s="333"/>
      <c r="N296" s="333"/>
    </row>
    <row r="297" spans="2:14" s="26" customFormat="1" x14ac:dyDescent="0.35">
      <c r="B297" s="111"/>
      <c r="C297" s="327"/>
      <c r="D297" s="327"/>
      <c r="E297" s="327"/>
      <c r="F297" s="327"/>
      <c r="G297" s="327"/>
      <c r="H297" s="327"/>
      <c r="I297" s="327"/>
      <c r="J297" s="327"/>
      <c r="K297" s="327"/>
      <c r="L297" s="327"/>
      <c r="M297" s="327"/>
      <c r="N297" s="327"/>
    </row>
    <row r="298" spans="2:14" s="26" customFormat="1" ht="15.6" thickBot="1" x14ac:dyDescent="0.4">
      <c r="B298" s="111"/>
      <c r="C298" s="297" t="s">
        <v>33</v>
      </c>
      <c r="D298" s="298"/>
      <c r="E298" s="298"/>
      <c r="F298" s="298"/>
      <c r="G298" s="298"/>
      <c r="H298" s="298"/>
      <c r="I298" s="298"/>
      <c r="J298" s="298"/>
      <c r="K298" s="298"/>
      <c r="L298" s="298"/>
      <c r="M298" s="298"/>
      <c r="N298" s="298"/>
    </row>
    <row r="299" spans="2:14" s="26" customFormat="1" x14ac:dyDescent="0.35">
      <c r="B299" s="111"/>
      <c r="C299" s="299" t="s">
        <v>34</v>
      </c>
      <c r="D299" s="300"/>
      <c r="E299" s="300"/>
      <c r="F299" s="300"/>
      <c r="G299" s="300"/>
      <c r="H299" s="300"/>
      <c r="I299" s="300"/>
      <c r="J299" s="300"/>
      <c r="K299" s="300"/>
      <c r="L299" s="300"/>
      <c r="M299" s="300"/>
      <c r="N299" s="300"/>
    </row>
    <row r="300" spans="2:14" s="26" customFormat="1" ht="15.6" thickBot="1" x14ac:dyDescent="0.4">
      <c r="B300" s="111"/>
      <c r="C300" s="314"/>
      <c r="D300" s="314"/>
      <c r="E300" s="314"/>
      <c r="F300" s="314"/>
      <c r="G300" s="314"/>
      <c r="H300" s="314"/>
      <c r="I300" s="314"/>
      <c r="J300" s="314"/>
      <c r="K300" s="314"/>
      <c r="L300" s="314"/>
      <c r="M300" s="314"/>
      <c r="N300" s="314"/>
    </row>
    <row r="301" spans="2:14" s="26" customFormat="1" x14ac:dyDescent="0.35">
      <c r="B301" s="111"/>
      <c r="C301" s="301" t="s">
        <v>35</v>
      </c>
      <c r="D301" s="301"/>
      <c r="E301" s="301"/>
      <c r="F301" s="301"/>
      <c r="G301" s="301"/>
      <c r="H301" s="301"/>
      <c r="I301" s="301"/>
      <c r="J301" s="301"/>
      <c r="K301" s="301"/>
      <c r="L301" s="301"/>
      <c r="M301" s="301"/>
      <c r="N301" s="301"/>
    </row>
    <row r="302" spans="2:14" s="26" customFormat="1" ht="15.75" customHeight="1" x14ac:dyDescent="0.35">
      <c r="B302" s="111"/>
      <c r="C302" s="274" t="s">
        <v>36</v>
      </c>
      <c r="D302" s="274"/>
      <c r="E302" s="274"/>
      <c r="F302" s="274"/>
      <c r="G302" s="274"/>
      <c r="H302" s="274"/>
      <c r="I302" s="274"/>
      <c r="J302" s="274"/>
      <c r="K302" s="274"/>
      <c r="L302" s="274"/>
      <c r="M302" s="274"/>
      <c r="N302" s="274"/>
    </row>
    <row r="303" spans="2:14" s="26" customFormat="1" x14ac:dyDescent="0.35">
      <c r="B303" s="111"/>
      <c r="C303" s="301" t="s">
        <v>38</v>
      </c>
      <c r="D303" s="301"/>
      <c r="E303" s="301"/>
      <c r="F303" s="301"/>
      <c r="G303" s="301"/>
      <c r="H303" s="301"/>
      <c r="I303" s="301"/>
      <c r="J303" s="301"/>
      <c r="K303" s="301"/>
      <c r="L303" s="301"/>
      <c r="M303" s="301"/>
      <c r="N303" s="301"/>
    </row>
    <row r="306" spans="10:11" x14ac:dyDescent="0.35">
      <c r="J306" s="107"/>
    </row>
    <row r="307" spans="10:11" x14ac:dyDescent="0.35">
      <c r="J307" s="107"/>
      <c r="K307" s="108"/>
    </row>
    <row r="309" spans="10:11" x14ac:dyDescent="0.35">
      <c r="K309" s="108"/>
    </row>
  </sheetData>
  <protectedRanges>
    <protectedRange algorithmName="SHA-512" hashValue="19r0bVvPR7yZA0UiYij7Tv1CBk3noIABvFePbLhCJ4nk3L6A+Fy+RdPPS3STf+a52x4pG2PQK4FAkXK9epnlIA==" saltValue="gQC4yrLvnbJqxYZ0KSEoZA==" spinCount="100000" sqref="C282:D285 F282:H284 F285:G285 B118:D161 B273:B281 B117:C117 H15:H272 B15:D116 B163:D272 B162:C162" name="Government revenues_1"/>
    <protectedRange algorithmName="SHA-512" hashValue="19r0bVvPR7yZA0UiYij7Tv1CBk3noIABvFePbLhCJ4nk3L6A+Fy+RdPPS3STf+a52x4pG2PQK4FAkXK9epnlIA==" saltValue="gQC4yrLvnbJqxYZ0KSEoZA==" spinCount="100000" sqref="I283:I285 I15:I272" name="Government revenues_2"/>
    <protectedRange algorithmName="SHA-512" hashValue="19r0bVvPR7yZA0UiYij7Tv1CBk3noIABvFePbLhCJ4nk3L6A+Fy+RdPPS3STf+a52x4pG2PQK4FAkXK9epnlIA==" saltValue="gQC4yrLvnbJqxYZ0KSEoZA==" spinCount="100000" sqref="C273:D281 H273:H281" name="Government revenues_1_1"/>
    <protectedRange algorithmName="SHA-512" hashValue="19r0bVvPR7yZA0UiYij7Tv1CBk3noIABvFePbLhCJ4nk3L6A+Fy+RdPPS3STf+a52x4pG2PQK4FAkXK9epnlIA==" saltValue="gQC4yrLvnbJqxYZ0KSEoZA==" spinCount="100000" sqref="I273:I281" name="Government revenues_2_1"/>
    <protectedRange algorithmName="SHA-512" hashValue="19r0bVvPR7yZA0UiYij7Tv1CBk3noIABvFePbLhCJ4nk3L6A+Fy+RdPPS3STf+a52x4pG2PQK4FAkXK9epnlIA==" saltValue="gQC4yrLvnbJqxYZ0KSEoZA==" spinCount="100000" sqref="D162" name="Government revenues_3"/>
    <protectedRange algorithmName="SHA-512" hashValue="19r0bVvPR7yZA0UiYij7Tv1CBk3noIABvFePbLhCJ4nk3L6A+Fy+RdPPS3STf+a52x4pG2PQK4FAkXK9epnlIA==" saltValue="gQC4yrLvnbJqxYZ0KSEoZA==" spinCount="100000" sqref="D117" name="Government revenues_3_1"/>
  </protectedRanges>
  <mergeCells count="28">
    <mergeCell ref="C303:N303"/>
    <mergeCell ref="B13:N13"/>
    <mergeCell ref="C297:N297"/>
    <mergeCell ref="C298:N298"/>
    <mergeCell ref="C299:N299"/>
    <mergeCell ref="C300:N300"/>
    <mergeCell ref="C301:N301"/>
    <mergeCell ref="C302:N302"/>
    <mergeCell ref="C296:N296"/>
    <mergeCell ref="C2:N2"/>
    <mergeCell ref="C3:N3"/>
    <mergeCell ref="C4:N4"/>
    <mergeCell ref="C5:N5"/>
    <mergeCell ref="C6:N6"/>
    <mergeCell ref="C7:N7"/>
    <mergeCell ref="C8:N8"/>
    <mergeCell ref="C9:N9"/>
    <mergeCell ref="C294:N294"/>
    <mergeCell ref="C295:N295"/>
    <mergeCell ref="C10:N10"/>
    <mergeCell ref="C11:N11"/>
    <mergeCell ref="C287:N287"/>
    <mergeCell ref="C288:N288"/>
    <mergeCell ref="C289:N289"/>
    <mergeCell ref="C290:N290"/>
    <mergeCell ref="C291:N291"/>
    <mergeCell ref="C292:N292"/>
    <mergeCell ref="C293:N293"/>
  </mergeCells>
  <dataValidations xWindow="1197" yWindow="401" count="17">
    <dataValidation type="list" allowBlank="1" showInputMessage="1" showErrorMessage="1" sqref="D15:D22 D49:D50 D56:D57 D63 D263:D264 D81:D84 D133:D134 D142:D149 D190:D193 D201:D204 D221:D227 D213:D219 D234:D237 D252:D255 D247:D248 D179:D181 D76 D101:D106 D277:D278 D163:D173 D125 D153:D160 D271:D275 D65:D71 D280:D281 D91:D94 D239 D184 D196 D207 D258 D269 D113:D116" xr:uid="{3D63B995-AC0B-4208-BD62-9C408DE48CDF}">
      <formula1>Government_entities_list</formula1>
    </dataValidation>
    <dataValidation type="textLength" allowBlank="1" showInputMessage="1" showErrorMessage="1" errorTitle="Please do not edit these cells" error="Please do not edit these cells" sqref="C287:N288" xr:uid="{5BD11D2E-7C8F-496F-A0AD-C865F4EBDE8D}">
      <formula1>10000</formula1>
      <formula2>50000</formula2>
    </dataValidation>
    <dataValidation type="list" allowBlank="1" showInputMessage="1" showErrorMessage="1" sqref="F15:F16 K15:K281 G15:G281" xr:uid="{6330F492-8F41-4B18-8338-9C60C4BF1F85}">
      <formula1>Simple_options_list</formula1>
    </dataValidation>
    <dataValidation type="textLength" allowBlank="1" showInputMessage="1" showErrorMessage="1" sqref="B1:O14 O287:O303 H286:J286 B296:N303 B282:G286 K282:O286 J282:J284 H282:I282 H284:I284 A1:A303" xr:uid="{FA9D5B36-9236-43A9-B346-F91F9A7BA7B2}">
      <formula1>9999999</formula1>
      <formula2>99999999</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23 E70 E91:E92 E101:E103 E133:E134 E234 E153:E154 E223:E225 E142:E146 E179 E190:E191 E201:E202 E252 E113 E247:E248 E271:E273 E263:E264 E156:E157 E163:E165 E167:E170 E213:E215 E217:E218 E63:E68 E76:E77 E81 E94 E115 E125 E148 E172 E181 E193 E204 E221 E227 E236 E254 E277 E280 E29 E34 E39 E44 E51 E58 E85 E96 E108 E120 E127 E117" xr:uid="{869125D6-CA61-4F7B-AB37-BA3A25D777C0}">
      <formula1>Revenue_stream_list</formula1>
    </dataValidation>
    <dataValidation type="whole" allowBlank="1" showInputMessage="1" showErrorMessage="1" sqref="H283:I283" xr:uid="{5B7817A7-11FB-42D9-9460-F44DC212A83E}">
      <formula1>1</formula1>
      <formula2>2</formula2>
    </dataValidation>
    <dataValidation allowBlank="1" showInputMessage="1" showErrorMessage="1" promptTitle="Company name" prompt="Input company name here._x000a__x000a_Please refrain from using acronyms, and input complete name." sqref="H217:H220 C217:C220 H224:H233 C224:C233 H15:H178 C15:C178 C190:C214 H190:H214 C237:C278 H237:H272 H277:H278" xr:uid="{81AB3E57-AC65-4AAC-B3D6-CEE83FCC422D}"/>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73:E178 E281 E73:E75 E135:E141 E78:E80 E97:E100 E228:E233 E59:E62 E121:E124 E109:E112 E222 E86:E90 E128:E132 E216 E71 E158:E162 E114 E166 F17:F281 E237:E246 E255:E262 E249:E251 E265:E270 E182:E189 E155 E149:E152 E147 E205:E212 E69 E52:E57 E93 E171 E180 E192 E203 E219:E220 E226 E235 E253 E274:E276 E278:E279 E24:E28 E30:E33 E35:E38 E40:E43 E45:E50 E82:E84 E95 E104:E107 E194:E200 E126 E116 E118:E119" xr:uid="{4370E21C-B9D7-4078-BA0F-EBB49CABFF7E}"/>
    <dataValidation allowBlank="1" showInputMessage="1" showErrorMessage="1" promptTitle="Receiving government agency" prompt="Input the name of the government recipient here._x000a__x000a_Please refrain from using acronyms, and input complete name." sqref="D279 D51:D55 D72:D75 D77:D80 D85:D90 D107:D112 D95:D100 D126:D132 D118:D124 D214 D135:D141 D161 D185:D189 D220 D249:D251 D208:D212 D197:D200 D23:D48 D58:D62 D64 D150:D152 D174:D178 D228:D233 D259:D262 D276 D270 D182:D183 D194:D195 D205:D206 D256:D257 D265:D268 D238 D240:D246" xr:uid="{F42D01C0-1D81-48F7-8AF1-1FB0FFDC604F}"/>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57 J59:J200 J203:J281" xr:uid="{FE01652F-8EB5-4B64-AB8F-A52C0CC80CED}">
      <formula1>0.1</formula1>
      <formula2>0.2</formula2>
    </dataValidation>
    <dataValidation allowBlank="1" showInputMessage="1" showErrorMessage="1" promptTitle="Project name" prompt="Input project name here._x000a__x000a_Please refrain from using acronyms, and input complete name." sqref="H234:H236 C221:C223 H221:H223 C234:C236 C214:C216 H214:H216 H179:H189 C179:C189" xr:uid="{343F81BA-683B-43B6-9D54-8AF3ED83FCC3}"/>
    <dataValidation type="list" showInputMessage="1" showErrorMessage="1" sqref="C279:C281 H279:H281 H273:H276" xr:uid="{BC71062D-446F-42A4-BE9D-DD9B026D011F}">
      <formula1>Companies_list</formula1>
    </dataValidation>
    <dataValidation type="list" allowBlank="1" showInputMessage="1" showErrorMessage="1" sqref="I15:I281" xr:uid="{D122FD09-F6C9-4F3D-A48A-BB98A1F564D3}">
      <formula1>Currency_code_list</formula1>
    </dataValidation>
    <dataValidation type="list" allowBlank="1" showInputMessage="1" showErrorMessage="1" sqref="B15:B281" xr:uid="{2BF32111-BE6B-4DF0-BCF7-817B9CC3189C}">
      <formula1>Sector_list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281"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281" xr:uid="{645E0D20-6279-4C3E-A19C-F3A7886D2D5E}">
      <formula1>0.1</formula1>
      <formula2>0.2</formula2>
    </dataValidation>
    <dataValidation type="list" allowBlank="1" showInputMessage="1" showErrorMessage="1" promptTitle="Receiving government agency" prompt="Input the name of the government recipient here._x000a__x000a_Please refrain from using acronyms, and input complete name" sqref="D162" xr:uid="{C84D6B4C-EBAC-40F4-9703-D6CFBFB0D493}">
      <formula1>Government_entities_list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299:G299" r:id="rId3" display="Give us your feedback or report a conflict in the data! Write to us at  data@eiti.org" xr:uid="{72442048-902D-4FAE-8A16-3DE60997178A}"/>
    <hyperlink ref="C298:G298"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21875" defaultRowHeight="14.4" x14ac:dyDescent="0.3"/>
  <cols>
    <col min="1" max="1" width="38.77734375" bestFit="1" customWidth="1"/>
    <col min="2" max="3" width="17.44140625" customWidth="1"/>
    <col min="4" max="7" width="26.44140625" customWidth="1"/>
    <col min="9" max="9" width="24.44140625" customWidth="1"/>
    <col min="10" max="10" width="28.44140625" customWidth="1"/>
    <col min="11" max="11" width="20.44140625" bestFit="1" customWidth="1"/>
    <col min="14" max="14" width="17.44140625" customWidth="1"/>
    <col min="15" max="15" width="23.44140625" customWidth="1"/>
    <col min="16" max="16" width="13.44140625" customWidth="1"/>
    <col min="19" max="19" width="15.77734375" customWidth="1"/>
    <col min="20" max="20" width="10.77734375" customWidth="1"/>
    <col min="27" max="27" width="10.44140625" customWidth="1"/>
    <col min="29" max="29" width="15.44140625" customWidth="1"/>
    <col min="31" max="31" width="16" customWidth="1"/>
  </cols>
  <sheetData>
    <row r="1" spans="1:31" x14ac:dyDescent="0.3">
      <c r="A1" s="1" t="s">
        <v>550</v>
      </c>
      <c r="I1" s="1" t="s">
        <v>551</v>
      </c>
      <c r="K1" s="1" t="s">
        <v>552</v>
      </c>
      <c r="N1" s="1" t="s">
        <v>553</v>
      </c>
      <c r="S1" s="1" t="s">
        <v>554</v>
      </c>
      <c r="AA1" s="1" t="s">
        <v>555</v>
      </c>
      <c r="AC1" s="1" t="s">
        <v>556</v>
      </c>
      <c r="AE1" s="1" t="s">
        <v>557</v>
      </c>
    </row>
    <row r="2" spans="1:31" x14ac:dyDescent="0.3">
      <c r="A2" s="1" t="s">
        <v>558</v>
      </c>
      <c r="B2" s="1" t="s">
        <v>559</v>
      </c>
      <c r="C2" s="1" t="s">
        <v>53</v>
      </c>
      <c r="D2" s="1" t="s">
        <v>560</v>
      </c>
      <c r="E2" s="1" t="s">
        <v>561</v>
      </c>
      <c r="F2" s="1" t="s">
        <v>562</v>
      </c>
      <c r="G2" s="1" t="s">
        <v>451</v>
      </c>
      <c r="I2" t="s">
        <v>563</v>
      </c>
      <c r="K2" t="s">
        <v>563</v>
      </c>
      <c r="N2" s="4" t="s">
        <v>564</v>
      </c>
      <c r="O2" s="4" t="s">
        <v>565</v>
      </c>
      <c r="P2" s="4" t="s">
        <v>566</v>
      </c>
      <c r="S2" s="1" t="s">
        <v>567</v>
      </c>
      <c r="T2" s="1" t="s">
        <v>568</v>
      </c>
      <c r="U2" s="1" t="s">
        <v>569</v>
      </c>
      <c r="V2" s="1" t="s">
        <v>467</v>
      </c>
      <c r="W2" s="1" t="s">
        <v>468</v>
      </c>
      <c r="X2" s="1" t="s">
        <v>469</v>
      </c>
      <c r="Y2" s="1" t="s">
        <v>470</v>
      </c>
      <c r="AA2" s="1" t="s">
        <v>570</v>
      </c>
      <c r="AC2" t="s">
        <v>571</v>
      </c>
      <c r="AE2" t="s">
        <v>572</v>
      </c>
    </row>
    <row r="3" spans="1:31" x14ac:dyDescent="0.3">
      <c r="A3" t="s">
        <v>573</v>
      </c>
      <c r="B3" t="s">
        <v>574</v>
      </c>
      <c r="C3" t="s">
        <v>575</v>
      </c>
      <c r="D3" t="s">
        <v>576</v>
      </c>
      <c r="E3" t="s">
        <v>185</v>
      </c>
      <c r="F3">
        <v>840</v>
      </c>
      <c r="G3" t="s">
        <v>577</v>
      </c>
      <c r="I3" t="s">
        <v>578</v>
      </c>
      <c r="K3" s="6" t="s">
        <v>579</v>
      </c>
      <c r="N3" s="5" t="s">
        <v>580</v>
      </c>
      <c r="O3" s="5" t="s">
        <v>581</v>
      </c>
      <c r="P3" t="s">
        <v>582</v>
      </c>
      <c r="S3" t="s">
        <v>483</v>
      </c>
      <c r="T3" t="s">
        <v>583</v>
      </c>
      <c r="U3" t="s">
        <v>584</v>
      </c>
      <c r="V3" t="s">
        <v>585</v>
      </c>
      <c r="W3" t="s">
        <v>586</v>
      </c>
      <c r="X3" t="s">
        <v>483</v>
      </c>
      <c r="Y3" t="s">
        <v>483</v>
      </c>
      <c r="AA3" t="s">
        <v>587</v>
      </c>
      <c r="AC3" t="s">
        <v>588</v>
      </c>
      <c r="AE3" t="s">
        <v>323</v>
      </c>
    </row>
    <row r="4" spans="1:31" x14ac:dyDescent="0.3">
      <c r="A4" t="s">
        <v>589</v>
      </c>
      <c r="B4" t="s">
        <v>590</v>
      </c>
      <c r="C4" t="s">
        <v>591</v>
      </c>
      <c r="D4" t="s">
        <v>592</v>
      </c>
      <c r="E4" t="s">
        <v>593</v>
      </c>
      <c r="F4">
        <v>971</v>
      </c>
      <c r="G4" t="s">
        <v>594</v>
      </c>
      <c r="I4" t="s">
        <v>61</v>
      </c>
      <c r="K4" t="s">
        <v>131</v>
      </c>
      <c r="N4" s="5" t="s">
        <v>595</v>
      </c>
      <c r="O4" s="5" t="s">
        <v>596</v>
      </c>
      <c r="P4" t="s">
        <v>597</v>
      </c>
      <c r="S4" t="s">
        <v>513</v>
      </c>
      <c r="T4" t="s">
        <v>598</v>
      </c>
      <c r="U4" t="s">
        <v>599</v>
      </c>
      <c r="V4" t="s">
        <v>585</v>
      </c>
      <c r="W4" t="s">
        <v>586</v>
      </c>
      <c r="X4" t="s">
        <v>513</v>
      </c>
      <c r="Y4" t="s">
        <v>513</v>
      </c>
      <c r="AA4" t="s">
        <v>84</v>
      </c>
      <c r="AC4" t="s">
        <v>600</v>
      </c>
      <c r="AE4" t="s">
        <v>601</v>
      </c>
    </row>
    <row r="5" spans="1:31" x14ac:dyDescent="0.3">
      <c r="A5" t="s">
        <v>602</v>
      </c>
      <c r="B5" t="s">
        <v>603</v>
      </c>
      <c r="C5" t="s">
        <v>604</v>
      </c>
      <c r="D5" t="s">
        <v>605</v>
      </c>
      <c r="E5" t="s">
        <v>606</v>
      </c>
      <c r="F5">
        <v>978</v>
      </c>
      <c r="G5" t="s">
        <v>607</v>
      </c>
      <c r="I5" t="s">
        <v>68</v>
      </c>
      <c r="K5" t="s">
        <v>79</v>
      </c>
      <c r="N5" s="5" t="s">
        <v>608</v>
      </c>
      <c r="O5" s="5" t="s">
        <v>609</v>
      </c>
      <c r="P5" t="s">
        <v>610</v>
      </c>
      <c r="S5" t="s">
        <v>611</v>
      </c>
      <c r="T5" t="s">
        <v>612</v>
      </c>
      <c r="U5" t="s">
        <v>613</v>
      </c>
      <c r="V5" t="s">
        <v>585</v>
      </c>
      <c r="W5" t="s">
        <v>611</v>
      </c>
      <c r="X5" t="s">
        <v>611</v>
      </c>
      <c r="Y5" t="s">
        <v>611</v>
      </c>
      <c r="AA5" t="s">
        <v>85</v>
      </c>
      <c r="AC5" t="s">
        <v>614</v>
      </c>
      <c r="AE5" t="s">
        <v>615</v>
      </c>
    </row>
    <row r="6" spans="1:31" x14ac:dyDescent="0.3">
      <c r="A6" t="s">
        <v>616</v>
      </c>
      <c r="B6" t="s">
        <v>617</v>
      </c>
      <c r="C6" t="s">
        <v>618</v>
      </c>
      <c r="D6" t="s">
        <v>619</v>
      </c>
      <c r="E6" t="s">
        <v>620</v>
      </c>
      <c r="F6">
        <v>8</v>
      </c>
      <c r="G6" t="s">
        <v>621</v>
      </c>
      <c r="I6" t="s">
        <v>74</v>
      </c>
      <c r="K6" t="s">
        <v>106</v>
      </c>
      <c r="N6" s="5" t="s">
        <v>622</v>
      </c>
      <c r="O6" s="5" t="s">
        <v>623</v>
      </c>
      <c r="P6" t="s">
        <v>624</v>
      </c>
      <c r="S6" t="s">
        <v>625</v>
      </c>
      <c r="T6" t="s">
        <v>626</v>
      </c>
      <c r="U6" t="s">
        <v>627</v>
      </c>
      <c r="V6" t="s">
        <v>585</v>
      </c>
      <c r="W6" t="s">
        <v>625</v>
      </c>
      <c r="X6" t="s">
        <v>625</v>
      </c>
      <c r="Y6" t="s">
        <v>625</v>
      </c>
      <c r="AA6" t="s">
        <v>435</v>
      </c>
      <c r="AC6" t="s">
        <v>628</v>
      </c>
      <c r="AE6" t="s">
        <v>629</v>
      </c>
    </row>
    <row r="7" spans="1:31" x14ac:dyDescent="0.3">
      <c r="A7" t="s">
        <v>630</v>
      </c>
      <c r="B7" t="s">
        <v>631</v>
      </c>
      <c r="C7" t="s">
        <v>632</v>
      </c>
      <c r="D7" t="s">
        <v>633</v>
      </c>
      <c r="E7" t="s">
        <v>634</v>
      </c>
      <c r="F7">
        <v>12</v>
      </c>
      <c r="G7" t="s">
        <v>635</v>
      </c>
      <c r="I7" t="s">
        <v>106</v>
      </c>
      <c r="K7" t="s">
        <v>107</v>
      </c>
      <c r="N7" s="5" t="s">
        <v>636</v>
      </c>
      <c r="O7" s="5" t="s">
        <v>637</v>
      </c>
      <c r="P7" t="s">
        <v>638</v>
      </c>
      <c r="S7" t="s">
        <v>489</v>
      </c>
      <c r="T7" t="s">
        <v>639</v>
      </c>
      <c r="U7" t="s">
        <v>640</v>
      </c>
      <c r="V7" t="s">
        <v>585</v>
      </c>
      <c r="W7" t="s">
        <v>641</v>
      </c>
      <c r="X7" t="s">
        <v>489</v>
      </c>
      <c r="Y7" t="s">
        <v>489</v>
      </c>
      <c r="AA7" t="s">
        <v>106</v>
      </c>
      <c r="AC7" t="s">
        <v>642</v>
      </c>
      <c r="AE7" t="s">
        <v>642</v>
      </c>
    </row>
    <row r="8" spans="1:31" x14ac:dyDescent="0.3">
      <c r="A8" t="s">
        <v>643</v>
      </c>
      <c r="B8" t="s">
        <v>644</v>
      </c>
      <c r="C8" t="s">
        <v>645</v>
      </c>
      <c r="D8" t="s">
        <v>646</v>
      </c>
      <c r="E8" t="s">
        <v>185</v>
      </c>
      <c r="F8">
        <v>840</v>
      </c>
      <c r="G8" t="s">
        <v>577</v>
      </c>
      <c r="N8" s="5" t="s">
        <v>647</v>
      </c>
      <c r="O8" s="5" t="s">
        <v>648</v>
      </c>
      <c r="P8" t="s">
        <v>649</v>
      </c>
      <c r="S8" t="s">
        <v>650</v>
      </c>
      <c r="T8" t="s">
        <v>651</v>
      </c>
      <c r="U8" t="s">
        <v>652</v>
      </c>
      <c r="V8" t="s">
        <v>585</v>
      </c>
      <c r="W8" t="s">
        <v>641</v>
      </c>
      <c r="X8" t="s">
        <v>650</v>
      </c>
      <c r="Y8" t="s">
        <v>650</v>
      </c>
      <c r="AA8" t="s">
        <v>340</v>
      </c>
      <c r="AC8" t="s">
        <v>106</v>
      </c>
    </row>
    <row r="9" spans="1:31" x14ac:dyDescent="0.3">
      <c r="A9" t="s">
        <v>653</v>
      </c>
      <c r="B9" t="s">
        <v>654</v>
      </c>
      <c r="C9" t="s">
        <v>655</v>
      </c>
      <c r="D9" t="s">
        <v>656</v>
      </c>
      <c r="E9" t="s">
        <v>606</v>
      </c>
      <c r="F9">
        <v>978</v>
      </c>
      <c r="G9" t="s">
        <v>607</v>
      </c>
      <c r="I9" s="1" t="s">
        <v>657</v>
      </c>
      <c r="N9" s="5" t="s">
        <v>658</v>
      </c>
      <c r="O9" s="5" t="s">
        <v>659</v>
      </c>
      <c r="P9" t="s">
        <v>660</v>
      </c>
      <c r="S9" t="s">
        <v>661</v>
      </c>
      <c r="T9" t="s">
        <v>662</v>
      </c>
      <c r="U9" t="s">
        <v>663</v>
      </c>
      <c r="V9" t="s">
        <v>585</v>
      </c>
      <c r="W9" t="s">
        <v>641</v>
      </c>
      <c r="X9" t="s">
        <v>664</v>
      </c>
      <c r="Y9" t="s">
        <v>661</v>
      </c>
      <c r="AA9" t="s">
        <v>642</v>
      </c>
    </row>
    <row r="10" spans="1:31" x14ac:dyDescent="0.3">
      <c r="A10" t="s">
        <v>665</v>
      </c>
      <c r="B10" t="s">
        <v>666</v>
      </c>
      <c r="C10" t="s">
        <v>667</v>
      </c>
      <c r="D10" t="s">
        <v>668</v>
      </c>
      <c r="E10" t="s">
        <v>669</v>
      </c>
      <c r="F10">
        <v>973</v>
      </c>
      <c r="G10" t="s">
        <v>670</v>
      </c>
      <c r="I10" s="95" t="s">
        <v>561</v>
      </c>
      <c r="J10" s="95" t="s">
        <v>562</v>
      </c>
      <c r="K10" s="96" t="s">
        <v>451</v>
      </c>
      <c r="N10" s="5" t="s">
        <v>671</v>
      </c>
      <c r="O10" s="5" t="s">
        <v>672</v>
      </c>
      <c r="P10" t="s">
        <v>673</v>
      </c>
      <c r="S10" t="s">
        <v>674</v>
      </c>
      <c r="T10" t="s">
        <v>675</v>
      </c>
      <c r="U10" t="s">
        <v>676</v>
      </c>
      <c r="V10" t="s">
        <v>585</v>
      </c>
      <c r="W10" t="s">
        <v>641</v>
      </c>
      <c r="X10" t="s">
        <v>664</v>
      </c>
      <c r="Y10" t="s">
        <v>674</v>
      </c>
    </row>
    <row r="11" spans="1:31" x14ac:dyDescent="0.3">
      <c r="A11" t="s">
        <v>677</v>
      </c>
      <c r="B11" t="s">
        <v>678</v>
      </c>
      <c r="C11" t="s">
        <v>679</v>
      </c>
      <c r="D11" t="s">
        <v>680</v>
      </c>
      <c r="E11" t="s">
        <v>681</v>
      </c>
      <c r="F11">
        <v>951</v>
      </c>
      <c r="G11" t="s">
        <v>682</v>
      </c>
      <c r="I11" s="2" t="s">
        <v>683</v>
      </c>
      <c r="J11" s="2">
        <v>784</v>
      </c>
      <c r="K11" s="3" t="s">
        <v>684</v>
      </c>
      <c r="N11" s="5" t="s">
        <v>685</v>
      </c>
      <c r="O11" s="5" t="s">
        <v>686</v>
      </c>
      <c r="P11" t="s">
        <v>687</v>
      </c>
      <c r="S11" t="s">
        <v>688</v>
      </c>
      <c r="T11" t="s">
        <v>689</v>
      </c>
      <c r="U11" t="s">
        <v>690</v>
      </c>
      <c r="V11" t="s">
        <v>585</v>
      </c>
      <c r="W11" t="s">
        <v>641</v>
      </c>
      <c r="X11" t="s">
        <v>664</v>
      </c>
      <c r="Y11" t="s">
        <v>688</v>
      </c>
    </row>
    <row r="12" spans="1:31" x14ac:dyDescent="0.3">
      <c r="A12" t="s">
        <v>691</v>
      </c>
      <c r="B12" t="s">
        <v>692</v>
      </c>
      <c r="C12" t="s">
        <v>693</v>
      </c>
      <c r="D12" t="s">
        <v>694</v>
      </c>
      <c r="E12" t="s">
        <v>681</v>
      </c>
      <c r="F12">
        <v>951</v>
      </c>
      <c r="G12" t="s">
        <v>682</v>
      </c>
      <c r="I12" s="2" t="s">
        <v>593</v>
      </c>
      <c r="J12" s="2">
        <v>971</v>
      </c>
      <c r="K12" s="3" t="s">
        <v>594</v>
      </c>
      <c r="N12" s="5" t="s">
        <v>695</v>
      </c>
      <c r="O12" s="5" t="s">
        <v>696</v>
      </c>
      <c r="P12" t="s">
        <v>697</v>
      </c>
      <c r="S12" t="s">
        <v>698</v>
      </c>
      <c r="T12" t="s">
        <v>699</v>
      </c>
      <c r="U12" t="s">
        <v>700</v>
      </c>
      <c r="V12" t="s">
        <v>585</v>
      </c>
      <c r="W12" t="s">
        <v>701</v>
      </c>
      <c r="X12" t="s">
        <v>698</v>
      </c>
      <c r="Y12" t="s">
        <v>698</v>
      </c>
    </row>
    <row r="13" spans="1:31" x14ac:dyDescent="0.3">
      <c r="A13" t="s">
        <v>702</v>
      </c>
      <c r="B13" t="s">
        <v>703</v>
      </c>
      <c r="C13" t="s">
        <v>704</v>
      </c>
      <c r="D13" t="s">
        <v>705</v>
      </c>
      <c r="E13" t="s">
        <v>706</v>
      </c>
      <c r="F13">
        <v>32</v>
      </c>
      <c r="G13" t="s">
        <v>707</v>
      </c>
      <c r="I13" s="2" t="s">
        <v>620</v>
      </c>
      <c r="J13" s="2">
        <v>8</v>
      </c>
      <c r="K13" s="3" t="s">
        <v>621</v>
      </c>
      <c r="N13" s="5" t="s">
        <v>708</v>
      </c>
      <c r="O13" s="5" t="s">
        <v>709</v>
      </c>
      <c r="P13" t="s">
        <v>710</v>
      </c>
      <c r="S13" t="s">
        <v>711</v>
      </c>
      <c r="T13" t="s">
        <v>712</v>
      </c>
      <c r="U13" t="s">
        <v>713</v>
      </c>
      <c r="V13" t="s">
        <v>585</v>
      </c>
      <c r="W13" t="s">
        <v>701</v>
      </c>
      <c r="X13" t="s">
        <v>711</v>
      </c>
      <c r="Y13" t="s">
        <v>711</v>
      </c>
    </row>
    <row r="14" spans="1:31" x14ac:dyDescent="0.3">
      <c r="A14" t="s">
        <v>714</v>
      </c>
      <c r="B14" t="s">
        <v>715</v>
      </c>
      <c r="C14" t="s">
        <v>716</v>
      </c>
      <c r="D14" t="s">
        <v>717</v>
      </c>
      <c r="E14" t="s">
        <v>718</v>
      </c>
      <c r="F14">
        <v>51</v>
      </c>
      <c r="G14" t="s">
        <v>719</v>
      </c>
      <c r="I14" s="2" t="s">
        <v>718</v>
      </c>
      <c r="J14" s="2">
        <v>51</v>
      </c>
      <c r="K14" s="3" t="s">
        <v>719</v>
      </c>
      <c r="N14" s="5" t="s">
        <v>720</v>
      </c>
      <c r="O14" s="5" t="s">
        <v>721</v>
      </c>
      <c r="P14" t="s">
        <v>722</v>
      </c>
      <c r="S14" t="s">
        <v>723</v>
      </c>
      <c r="T14" t="s">
        <v>724</v>
      </c>
      <c r="U14" t="s">
        <v>725</v>
      </c>
      <c r="V14" t="s">
        <v>585</v>
      </c>
      <c r="W14" t="s">
        <v>701</v>
      </c>
      <c r="X14" t="s">
        <v>723</v>
      </c>
      <c r="Y14" t="s">
        <v>723</v>
      </c>
    </row>
    <row r="15" spans="1:31" x14ac:dyDescent="0.3">
      <c r="A15" t="s">
        <v>726</v>
      </c>
      <c r="B15" t="s">
        <v>727</v>
      </c>
      <c r="C15" t="s">
        <v>728</v>
      </c>
      <c r="D15" t="s">
        <v>729</v>
      </c>
      <c r="E15" t="s">
        <v>730</v>
      </c>
      <c r="F15">
        <v>533</v>
      </c>
      <c r="G15" t="s">
        <v>731</v>
      </c>
      <c r="I15" s="2" t="s">
        <v>732</v>
      </c>
      <c r="J15" s="2">
        <v>532</v>
      </c>
      <c r="K15" s="3" t="s">
        <v>733</v>
      </c>
      <c r="N15" s="5" t="s">
        <v>734</v>
      </c>
      <c r="O15" s="5" t="s">
        <v>735</v>
      </c>
      <c r="P15" t="s">
        <v>736</v>
      </c>
      <c r="S15" t="s">
        <v>476</v>
      </c>
      <c r="T15" t="s">
        <v>737</v>
      </c>
      <c r="U15" t="s">
        <v>738</v>
      </c>
      <c r="V15" t="s">
        <v>585</v>
      </c>
      <c r="W15" t="s">
        <v>476</v>
      </c>
      <c r="X15" t="s">
        <v>476</v>
      </c>
      <c r="Y15" t="s">
        <v>476</v>
      </c>
    </row>
    <row r="16" spans="1:31" x14ac:dyDescent="0.3">
      <c r="A16" t="s">
        <v>739</v>
      </c>
      <c r="B16" t="s">
        <v>740</v>
      </c>
      <c r="C16" t="s">
        <v>741</v>
      </c>
      <c r="D16" t="s">
        <v>742</v>
      </c>
      <c r="E16" t="s">
        <v>743</v>
      </c>
      <c r="F16">
        <v>36</v>
      </c>
      <c r="G16" t="s">
        <v>744</v>
      </c>
      <c r="I16" s="2" t="s">
        <v>669</v>
      </c>
      <c r="J16" s="2">
        <v>973</v>
      </c>
      <c r="K16" s="3" t="s">
        <v>670</v>
      </c>
      <c r="N16" s="5" t="s">
        <v>745</v>
      </c>
      <c r="O16" s="5" t="s">
        <v>746</v>
      </c>
      <c r="P16" t="s">
        <v>747</v>
      </c>
      <c r="S16" t="s">
        <v>748</v>
      </c>
      <c r="T16" t="s">
        <v>749</v>
      </c>
      <c r="U16" t="s">
        <v>750</v>
      </c>
      <c r="V16" t="s">
        <v>751</v>
      </c>
      <c r="W16" t="s">
        <v>748</v>
      </c>
      <c r="X16" t="s">
        <v>748</v>
      </c>
      <c r="Y16" t="s">
        <v>748</v>
      </c>
    </row>
    <row r="17" spans="1:25" x14ac:dyDescent="0.3">
      <c r="A17" t="s">
        <v>752</v>
      </c>
      <c r="B17" t="s">
        <v>753</v>
      </c>
      <c r="C17" t="s">
        <v>754</v>
      </c>
      <c r="D17" t="s">
        <v>755</v>
      </c>
      <c r="E17" t="s">
        <v>606</v>
      </c>
      <c r="F17">
        <v>978</v>
      </c>
      <c r="G17" t="s">
        <v>607</v>
      </c>
      <c r="I17" s="2" t="s">
        <v>706</v>
      </c>
      <c r="J17" s="2">
        <v>32</v>
      </c>
      <c r="K17" s="3" t="s">
        <v>707</v>
      </c>
      <c r="N17" s="5" t="s">
        <v>756</v>
      </c>
      <c r="O17" s="5" t="s">
        <v>757</v>
      </c>
      <c r="P17" t="s">
        <v>758</v>
      </c>
      <c r="S17" t="s">
        <v>759</v>
      </c>
      <c r="T17" t="s">
        <v>760</v>
      </c>
      <c r="U17" t="s">
        <v>761</v>
      </c>
      <c r="V17" t="s">
        <v>762</v>
      </c>
      <c r="W17" t="s">
        <v>763</v>
      </c>
      <c r="X17" t="s">
        <v>764</v>
      </c>
      <c r="Y17" t="s">
        <v>759</v>
      </c>
    </row>
    <row r="18" spans="1:25" x14ac:dyDescent="0.3">
      <c r="A18" t="s">
        <v>765</v>
      </c>
      <c r="B18" t="s">
        <v>766</v>
      </c>
      <c r="C18" t="s">
        <v>767</v>
      </c>
      <c r="D18" t="s">
        <v>768</v>
      </c>
      <c r="E18" t="s">
        <v>769</v>
      </c>
      <c r="F18">
        <v>944</v>
      </c>
      <c r="G18" t="s">
        <v>770</v>
      </c>
      <c r="I18" s="2" t="s">
        <v>743</v>
      </c>
      <c r="J18" s="2">
        <v>36</v>
      </c>
      <c r="K18" s="3" t="s">
        <v>744</v>
      </c>
      <c r="N18" s="5" t="s">
        <v>771</v>
      </c>
      <c r="O18" s="5" t="s">
        <v>772</v>
      </c>
      <c r="P18" t="s">
        <v>773</v>
      </c>
      <c r="S18" t="s">
        <v>486</v>
      </c>
      <c r="T18" t="s">
        <v>774</v>
      </c>
      <c r="U18" t="s">
        <v>775</v>
      </c>
      <c r="V18" t="s">
        <v>762</v>
      </c>
      <c r="W18" t="s">
        <v>763</v>
      </c>
      <c r="X18" t="s">
        <v>764</v>
      </c>
      <c r="Y18" t="s">
        <v>486</v>
      </c>
    </row>
    <row r="19" spans="1:25" x14ac:dyDescent="0.3">
      <c r="A19" t="s">
        <v>776</v>
      </c>
      <c r="B19" t="s">
        <v>777</v>
      </c>
      <c r="C19" t="s">
        <v>778</v>
      </c>
      <c r="D19" t="s">
        <v>779</v>
      </c>
      <c r="E19" t="s">
        <v>780</v>
      </c>
      <c r="F19">
        <v>44</v>
      </c>
      <c r="G19" t="s">
        <v>781</v>
      </c>
      <c r="I19" s="2" t="s">
        <v>730</v>
      </c>
      <c r="J19" s="2">
        <v>533</v>
      </c>
      <c r="K19" s="3" t="s">
        <v>731</v>
      </c>
      <c r="N19" s="5" t="s">
        <v>782</v>
      </c>
      <c r="O19" s="5" t="s">
        <v>783</v>
      </c>
      <c r="P19" t="s">
        <v>784</v>
      </c>
      <c r="S19" t="s">
        <v>785</v>
      </c>
      <c r="T19" t="s">
        <v>786</v>
      </c>
      <c r="U19" t="s">
        <v>787</v>
      </c>
      <c r="V19" t="s">
        <v>762</v>
      </c>
      <c r="W19" t="s">
        <v>763</v>
      </c>
      <c r="X19" t="s">
        <v>785</v>
      </c>
      <c r="Y19" t="s">
        <v>785</v>
      </c>
    </row>
    <row r="20" spans="1:25" x14ac:dyDescent="0.3">
      <c r="A20" t="s">
        <v>788</v>
      </c>
      <c r="B20" t="s">
        <v>789</v>
      </c>
      <c r="C20" t="s">
        <v>790</v>
      </c>
      <c r="D20" t="s">
        <v>791</v>
      </c>
      <c r="E20" t="s">
        <v>792</v>
      </c>
      <c r="F20">
        <v>48</v>
      </c>
      <c r="G20" t="s">
        <v>793</v>
      </c>
      <c r="I20" s="2" t="s">
        <v>769</v>
      </c>
      <c r="J20" s="2">
        <v>944</v>
      </c>
      <c r="K20" s="3" t="s">
        <v>770</v>
      </c>
      <c r="N20" s="5" t="s">
        <v>794</v>
      </c>
      <c r="O20" s="5" t="s">
        <v>795</v>
      </c>
      <c r="P20" t="s">
        <v>796</v>
      </c>
      <c r="S20" t="s">
        <v>505</v>
      </c>
      <c r="T20" t="s">
        <v>797</v>
      </c>
      <c r="U20" t="s">
        <v>798</v>
      </c>
      <c r="V20" t="s">
        <v>762</v>
      </c>
      <c r="W20" t="s">
        <v>763</v>
      </c>
      <c r="X20" t="s">
        <v>799</v>
      </c>
      <c r="Y20" t="s">
        <v>505</v>
      </c>
    </row>
    <row r="21" spans="1:25" x14ac:dyDescent="0.3">
      <c r="A21" t="s">
        <v>800</v>
      </c>
      <c r="B21" t="s">
        <v>801</v>
      </c>
      <c r="C21" t="s">
        <v>802</v>
      </c>
      <c r="D21" t="s">
        <v>803</v>
      </c>
      <c r="E21" t="s">
        <v>804</v>
      </c>
      <c r="F21">
        <v>50</v>
      </c>
      <c r="G21" t="s">
        <v>805</v>
      </c>
      <c r="I21" s="2" t="s">
        <v>806</v>
      </c>
      <c r="J21" s="2">
        <v>977</v>
      </c>
      <c r="K21" s="3" t="s">
        <v>807</v>
      </c>
      <c r="N21" s="5" t="s">
        <v>808</v>
      </c>
      <c r="O21" s="5" t="s">
        <v>809</v>
      </c>
      <c r="P21" t="s">
        <v>810</v>
      </c>
      <c r="S21" t="s">
        <v>811</v>
      </c>
      <c r="T21" t="s">
        <v>812</v>
      </c>
      <c r="U21" t="s">
        <v>813</v>
      </c>
      <c r="V21" t="s">
        <v>762</v>
      </c>
      <c r="W21" t="s">
        <v>763</v>
      </c>
      <c r="X21" t="s">
        <v>799</v>
      </c>
      <c r="Y21" t="s">
        <v>811</v>
      </c>
    </row>
    <row r="22" spans="1:25" x14ac:dyDescent="0.3">
      <c r="A22" t="s">
        <v>814</v>
      </c>
      <c r="B22" t="s">
        <v>815</v>
      </c>
      <c r="C22" t="s">
        <v>816</v>
      </c>
      <c r="D22" t="s">
        <v>817</v>
      </c>
      <c r="E22" t="s">
        <v>818</v>
      </c>
      <c r="F22">
        <v>52</v>
      </c>
      <c r="G22" t="s">
        <v>819</v>
      </c>
      <c r="I22" s="2" t="s">
        <v>818</v>
      </c>
      <c r="J22" s="2">
        <v>52</v>
      </c>
      <c r="K22" s="3" t="s">
        <v>819</v>
      </c>
      <c r="N22" s="5" t="s">
        <v>820</v>
      </c>
      <c r="O22" s="5" t="s">
        <v>821</v>
      </c>
      <c r="P22" t="s">
        <v>822</v>
      </c>
      <c r="S22" t="s">
        <v>823</v>
      </c>
      <c r="T22" t="s">
        <v>824</v>
      </c>
      <c r="U22" t="s">
        <v>825</v>
      </c>
      <c r="V22" t="s">
        <v>762</v>
      </c>
      <c r="W22" t="s">
        <v>763</v>
      </c>
      <c r="X22" t="s">
        <v>799</v>
      </c>
      <c r="Y22" t="s">
        <v>826</v>
      </c>
    </row>
    <row r="23" spans="1:25" x14ac:dyDescent="0.3">
      <c r="A23" t="s">
        <v>827</v>
      </c>
      <c r="B23" t="s">
        <v>828</v>
      </c>
      <c r="C23" t="s">
        <v>829</v>
      </c>
      <c r="D23" t="s">
        <v>830</v>
      </c>
      <c r="E23" t="s">
        <v>831</v>
      </c>
      <c r="F23">
        <v>974</v>
      </c>
      <c r="G23" t="s">
        <v>832</v>
      </c>
      <c r="I23" s="2" t="s">
        <v>804</v>
      </c>
      <c r="J23" s="2">
        <v>50</v>
      </c>
      <c r="K23" s="3" t="s">
        <v>805</v>
      </c>
      <c r="N23" s="5" t="s">
        <v>833</v>
      </c>
      <c r="O23" s="5" t="s">
        <v>834</v>
      </c>
      <c r="P23" t="s">
        <v>835</v>
      </c>
      <c r="S23" t="s">
        <v>836</v>
      </c>
      <c r="T23" t="s">
        <v>837</v>
      </c>
      <c r="U23" t="s">
        <v>838</v>
      </c>
      <c r="V23" t="s">
        <v>762</v>
      </c>
      <c r="W23" t="s">
        <v>763</v>
      </c>
      <c r="X23" t="s">
        <v>799</v>
      </c>
      <c r="Y23" t="s">
        <v>826</v>
      </c>
    </row>
    <row r="24" spans="1:25" x14ac:dyDescent="0.3">
      <c r="A24" t="s">
        <v>839</v>
      </c>
      <c r="B24" t="s">
        <v>840</v>
      </c>
      <c r="C24" t="s">
        <v>841</v>
      </c>
      <c r="D24" t="s">
        <v>842</v>
      </c>
      <c r="E24" t="s">
        <v>606</v>
      </c>
      <c r="F24">
        <v>978</v>
      </c>
      <c r="G24" t="s">
        <v>607</v>
      </c>
      <c r="I24" s="2" t="s">
        <v>843</v>
      </c>
      <c r="J24" s="2">
        <v>975</v>
      </c>
      <c r="K24" s="3" t="s">
        <v>844</v>
      </c>
      <c r="N24" s="5" t="s">
        <v>845</v>
      </c>
      <c r="O24" s="5" t="s">
        <v>846</v>
      </c>
      <c r="P24" t="s">
        <v>847</v>
      </c>
      <c r="S24" t="s">
        <v>848</v>
      </c>
      <c r="T24" t="s">
        <v>849</v>
      </c>
      <c r="U24" t="s">
        <v>850</v>
      </c>
      <c r="V24" t="s">
        <v>762</v>
      </c>
      <c r="W24" t="s">
        <v>763</v>
      </c>
      <c r="X24" t="s">
        <v>799</v>
      </c>
      <c r="Y24" t="s">
        <v>848</v>
      </c>
    </row>
    <row r="25" spans="1:25" x14ac:dyDescent="0.3">
      <c r="A25" t="s">
        <v>851</v>
      </c>
      <c r="B25" t="s">
        <v>852</v>
      </c>
      <c r="C25" t="s">
        <v>853</v>
      </c>
      <c r="D25" t="s">
        <v>854</v>
      </c>
      <c r="E25" t="s">
        <v>855</v>
      </c>
      <c r="F25">
        <v>84</v>
      </c>
      <c r="G25" t="s">
        <v>856</v>
      </c>
      <c r="I25" s="2" t="s">
        <v>792</v>
      </c>
      <c r="J25" s="2">
        <v>48</v>
      </c>
      <c r="K25" s="3" t="s">
        <v>793</v>
      </c>
      <c r="N25" s="5" t="s">
        <v>857</v>
      </c>
      <c r="O25" s="5" t="s">
        <v>858</v>
      </c>
      <c r="P25" t="s">
        <v>859</v>
      </c>
      <c r="S25" t="s">
        <v>481</v>
      </c>
      <c r="T25" t="s">
        <v>860</v>
      </c>
      <c r="U25" t="s">
        <v>861</v>
      </c>
      <c r="V25" t="s">
        <v>762</v>
      </c>
      <c r="W25" t="s">
        <v>763</v>
      </c>
      <c r="X25" t="s">
        <v>799</v>
      </c>
      <c r="Y25" t="s">
        <v>481</v>
      </c>
    </row>
    <row r="26" spans="1:25" x14ac:dyDescent="0.3">
      <c r="A26" t="s">
        <v>862</v>
      </c>
      <c r="B26" t="s">
        <v>863</v>
      </c>
      <c r="C26" t="s">
        <v>864</v>
      </c>
      <c r="D26" t="s">
        <v>865</v>
      </c>
      <c r="E26" t="s">
        <v>866</v>
      </c>
      <c r="F26">
        <v>952</v>
      </c>
      <c r="G26" t="s">
        <v>867</v>
      </c>
      <c r="I26" s="2" t="s">
        <v>868</v>
      </c>
      <c r="J26" s="2">
        <v>108</v>
      </c>
      <c r="K26" s="3" t="s">
        <v>869</v>
      </c>
      <c r="N26" s="5" t="s">
        <v>870</v>
      </c>
      <c r="O26" s="5" t="s">
        <v>871</v>
      </c>
      <c r="P26" t="s">
        <v>872</v>
      </c>
      <c r="S26" t="s">
        <v>873</v>
      </c>
      <c r="T26" t="s">
        <v>874</v>
      </c>
      <c r="U26" t="s">
        <v>875</v>
      </c>
      <c r="V26" t="s">
        <v>762</v>
      </c>
      <c r="W26" t="s">
        <v>876</v>
      </c>
      <c r="X26" t="s">
        <v>873</v>
      </c>
      <c r="Y26" t="s">
        <v>873</v>
      </c>
    </row>
    <row r="27" spans="1:25" x14ac:dyDescent="0.3">
      <c r="A27" t="s">
        <v>877</v>
      </c>
      <c r="B27" t="s">
        <v>878</v>
      </c>
      <c r="C27" t="s">
        <v>879</v>
      </c>
      <c r="D27" t="s">
        <v>880</v>
      </c>
      <c r="E27" t="s">
        <v>881</v>
      </c>
      <c r="F27">
        <v>60</v>
      </c>
      <c r="G27" t="s">
        <v>882</v>
      </c>
      <c r="I27" s="2" t="s">
        <v>881</v>
      </c>
      <c r="J27" s="2">
        <v>60</v>
      </c>
      <c r="K27" s="3" t="s">
        <v>882</v>
      </c>
      <c r="N27" s="5" t="s">
        <v>883</v>
      </c>
      <c r="O27" s="5" t="s">
        <v>884</v>
      </c>
      <c r="P27" t="s">
        <v>885</v>
      </c>
      <c r="S27" t="s">
        <v>479</v>
      </c>
      <c r="T27" t="s">
        <v>886</v>
      </c>
      <c r="U27" t="s">
        <v>887</v>
      </c>
      <c r="V27" t="s">
        <v>762</v>
      </c>
      <c r="W27" t="s">
        <v>876</v>
      </c>
      <c r="X27" t="s">
        <v>479</v>
      </c>
      <c r="Y27" t="s">
        <v>479</v>
      </c>
    </row>
    <row r="28" spans="1:25" x14ac:dyDescent="0.3">
      <c r="A28" t="s">
        <v>888</v>
      </c>
      <c r="B28" t="s">
        <v>889</v>
      </c>
      <c r="C28" t="s">
        <v>890</v>
      </c>
      <c r="D28" t="s">
        <v>891</v>
      </c>
      <c r="E28" t="s">
        <v>890</v>
      </c>
      <c r="F28">
        <v>64</v>
      </c>
      <c r="G28" t="s">
        <v>892</v>
      </c>
      <c r="I28" s="2" t="s">
        <v>893</v>
      </c>
      <c r="J28" s="2">
        <v>96</v>
      </c>
      <c r="K28" s="3" t="s">
        <v>894</v>
      </c>
      <c r="N28" s="5" t="s">
        <v>895</v>
      </c>
      <c r="O28" s="5" t="s">
        <v>896</v>
      </c>
      <c r="P28" t="s">
        <v>897</v>
      </c>
      <c r="S28" t="s">
        <v>491</v>
      </c>
      <c r="T28" t="s">
        <v>898</v>
      </c>
      <c r="U28" t="s">
        <v>899</v>
      </c>
      <c r="V28" t="s">
        <v>762</v>
      </c>
      <c r="W28" t="s">
        <v>491</v>
      </c>
      <c r="X28" t="s">
        <v>491</v>
      </c>
      <c r="Y28" t="s">
        <v>491</v>
      </c>
    </row>
    <row r="29" spans="1:25" x14ac:dyDescent="0.3">
      <c r="A29" t="s">
        <v>900</v>
      </c>
      <c r="B29" t="s">
        <v>901</v>
      </c>
      <c r="C29" t="s">
        <v>902</v>
      </c>
      <c r="D29" t="s">
        <v>903</v>
      </c>
      <c r="E29" t="s">
        <v>904</v>
      </c>
      <c r="F29">
        <v>68</v>
      </c>
      <c r="G29" t="s">
        <v>905</v>
      </c>
      <c r="I29" s="2" t="s">
        <v>904</v>
      </c>
      <c r="J29" s="2">
        <v>68</v>
      </c>
      <c r="K29" s="3" t="s">
        <v>905</v>
      </c>
      <c r="N29" s="5" t="s">
        <v>906</v>
      </c>
      <c r="O29" s="5" t="s">
        <v>907</v>
      </c>
      <c r="P29" t="s">
        <v>908</v>
      </c>
      <c r="S29" t="s">
        <v>909</v>
      </c>
      <c r="T29" t="s">
        <v>910</v>
      </c>
      <c r="U29" t="s">
        <v>911</v>
      </c>
      <c r="V29" t="s">
        <v>762</v>
      </c>
      <c r="W29" t="s">
        <v>909</v>
      </c>
      <c r="X29" t="s">
        <v>909</v>
      </c>
      <c r="Y29" t="s">
        <v>909</v>
      </c>
    </row>
    <row r="30" spans="1:25" x14ac:dyDescent="0.3">
      <c r="A30" t="s">
        <v>912</v>
      </c>
      <c r="B30" t="s">
        <v>913</v>
      </c>
      <c r="C30" t="s">
        <v>914</v>
      </c>
      <c r="D30" t="s">
        <v>915</v>
      </c>
      <c r="E30" t="s">
        <v>806</v>
      </c>
      <c r="F30">
        <v>977</v>
      </c>
      <c r="G30" t="s">
        <v>807</v>
      </c>
      <c r="I30" s="2" t="s">
        <v>916</v>
      </c>
      <c r="J30" s="2">
        <v>986</v>
      </c>
      <c r="K30" s="3" t="s">
        <v>917</v>
      </c>
      <c r="N30" s="5" t="s">
        <v>918</v>
      </c>
      <c r="O30" s="5" t="s">
        <v>919</v>
      </c>
      <c r="P30" t="s">
        <v>920</v>
      </c>
      <c r="S30" t="s">
        <v>921</v>
      </c>
      <c r="T30" t="s">
        <v>921</v>
      </c>
      <c r="U30" t="s">
        <v>921</v>
      </c>
      <c r="V30" t="s">
        <v>921</v>
      </c>
      <c r="W30" t="s">
        <v>921</v>
      </c>
      <c r="X30" t="s">
        <v>921</v>
      </c>
      <c r="Y30" t="s">
        <v>921</v>
      </c>
    </row>
    <row r="31" spans="1:25" x14ac:dyDescent="0.3">
      <c r="A31" t="s">
        <v>922</v>
      </c>
      <c r="B31" t="s">
        <v>923</v>
      </c>
      <c r="C31" t="s">
        <v>924</v>
      </c>
      <c r="D31" t="s">
        <v>925</v>
      </c>
      <c r="E31" t="s">
        <v>926</v>
      </c>
      <c r="F31">
        <v>72</v>
      </c>
      <c r="G31" t="s">
        <v>927</v>
      </c>
      <c r="I31" s="2" t="s">
        <v>780</v>
      </c>
      <c r="J31" s="2">
        <v>44</v>
      </c>
      <c r="K31" s="3" t="s">
        <v>781</v>
      </c>
      <c r="N31" s="5" t="s">
        <v>928</v>
      </c>
      <c r="O31" s="5" t="s">
        <v>929</v>
      </c>
      <c r="P31" t="s">
        <v>930</v>
      </c>
    </row>
    <row r="32" spans="1:25" x14ac:dyDescent="0.3">
      <c r="A32" t="s">
        <v>931</v>
      </c>
      <c r="B32" t="s">
        <v>932</v>
      </c>
      <c r="C32" t="s">
        <v>933</v>
      </c>
      <c r="D32" t="s">
        <v>934</v>
      </c>
      <c r="E32" t="s">
        <v>916</v>
      </c>
      <c r="F32">
        <v>986</v>
      </c>
      <c r="G32" t="s">
        <v>917</v>
      </c>
      <c r="I32" s="2" t="s">
        <v>890</v>
      </c>
      <c r="J32" s="2">
        <v>64</v>
      </c>
      <c r="K32" s="3" t="s">
        <v>892</v>
      </c>
      <c r="N32" s="5" t="s">
        <v>935</v>
      </c>
      <c r="O32" s="5" t="s">
        <v>936</v>
      </c>
      <c r="P32" t="s">
        <v>190</v>
      </c>
    </row>
    <row r="33" spans="1:16" x14ac:dyDescent="0.3">
      <c r="A33" t="s">
        <v>937</v>
      </c>
      <c r="B33" t="s">
        <v>938</v>
      </c>
      <c r="C33" t="s">
        <v>939</v>
      </c>
      <c r="D33" t="s">
        <v>940</v>
      </c>
      <c r="E33" t="s">
        <v>185</v>
      </c>
      <c r="F33">
        <v>840</v>
      </c>
      <c r="G33" t="s">
        <v>577</v>
      </c>
      <c r="I33" s="2" t="s">
        <v>926</v>
      </c>
      <c r="J33" s="2">
        <v>72</v>
      </c>
      <c r="K33" s="3" t="s">
        <v>927</v>
      </c>
      <c r="N33" s="5" t="s">
        <v>941</v>
      </c>
      <c r="O33" s="5" t="s">
        <v>942</v>
      </c>
      <c r="P33" t="s">
        <v>943</v>
      </c>
    </row>
    <row r="34" spans="1:16" x14ac:dyDescent="0.3">
      <c r="A34" t="s">
        <v>944</v>
      </c>
      <c r="B34" t="s">
        <v>945</v>
      </c>
      <c r="C34" t="s">
        <v>946</v>
      </c>
      <c r="D34" t="s">
        <v>947</v>
      </c>
      <c r="E34" t="s">
        <v>185</v>
      </c>
      <c r="F34">
        <v>840</v>
      </c>
      <c r="G34" t="s">
        <v>577</v>
      </c>
      <c r="I34" s="2" t="s">
        <v>831</v>
      </c>
      <c r="J34" s="2">
        <v>974</v>
      </c>
      <c r="K34" s="3" t="s">
        <v>832</v>
      </c>
      <c r="N34" s="5" t="s">
        <v>948</v>
      </c>
      <c r="O34" s="5" t="s">
        <v>949</v>
      </c>
      <c r="P34" t="s">
        <v>950</v>
      </c>
    </row>
    <row r="35" spans="1:16" x14ac:dyDescent="0.3">
      <c r="A35" t="s">
        <v>951</v>
      </c>
      <c r="B35" t="s">
        <v>952</v>
      </c>
      <c r="C35" t="s">
        <v>953</v>
      </c>
      <c r="D35" t="s">
        <v>954</v>
      </c>
      <c r="E35" t="s">
        <v>893</v>
      </c>
      <c r="F35">
        <v>96</v>
      </c>
      <c r="G35" t="s">
        <v>894</v>
      </c>
      <c r="I35" s="2" t="s">
        <v>855</v>
      </c>
      <c r="J35" s="2">
        <v>84</v>
      </c>
      <c r="K35" s="3" t="s">
        <v>856</v>
      </c>
      <c r="N35" s="5" t="s">
        <v>955</v>
      </c>
      <c r="O35" s="5" t="s">
        <v>956</v>
      </c>
      <c r="P35" t="s">
        <v>957</v>
      </c>
    </row>
    <row r="36" spans="1:16" x14ac:dyDescent="0.3">
      <c r="A36" t="s">
        <v>958</v>
      </c>
      <c r="B36" t="s">
        <v>959</v>
      </c>
      <c r="C36" t="s">
        <v>960</v>
      </c>
      <c r="D36" t="s">
        <v>961</v>
      </c>
      <c r="E36" t="s">
        <v>843</v>
      </c>
      <c r="F36">
        <v>975</v>
      </c>
      <c r="G36" t="s">
        <v>844</v>
      </c>
      <c r="I36" s="2" t="s">
        <v>962</v>
      </c>
      <c r="J36" s="2">
        <v>124</v>
      </c>
      <c r="K36" s="3" t="s">
        <v>963</v>
      </c>
      <c r="N36" s="5" t="s">
        <v>964</v>
      </c>
      <c r="O36" s="5" t="s">
        <v>965</v>
      </c>
      <c r="P36" t="s">
        <v>966</v>
      </c>
    </row>
    <row r="37" spans="1:16" x14ac:dyDescent="0.3">
      <c r="A37" t="s">
        <v>967</v>
      </c>
      <c r="B37" t="s">
        <v>968</v>
      </c>
      <c r="C37" t="s">
        <v>969</v>
      </c>
      <c r="D37" t="s">
        <v>970</v>
      </c>
      <c r="E37" t="s">
        <v>866</v>
      </c>
      <c r="F37">
        <v>952</v>
      </c>
      <c r="G37" t="s">
        <v>867</v>
      </c>
      <c r="I37" s="2" t="s">
        <v>971</v>
      </c>
      <c r="J37" s="2">
        <v>976</v>
      </c>
      <c r="K37" s="3" t="s">
        <v>972</v>
      </c>
      <c r="N37" s="5" t="s">
        <v>973</v>
      </c>
      <c r="O37" s="5" t="s">
        <v>974</v>
      </c>
      <c r="P37" t="s">
        <v>975</v>
      </c>
    </row>
    <row r="38" spans="1:16" x14ac:dyDescent="0.3">
      <c r="A38" t="s">
        <v>976</v>
      </c>
      <c r="B38" t="s">
        <v>977</v>
      </c>
      <c r="C38" t="s">
        <v>978</v>
      </c>
      <c r="D38" t="s">
        <v>979</v>
      </c>
      <c r="E38" t="s">
        <v>868</v>
      </c>
      <c r="F38">
        <v>108</v>
      </c>
      <c r="G38" t="s">
        <v>869</v>
      </c>
      <c r="I38" s="2" t="s">
        <v>980</v>
      </c>
      <c r="J38" s="2">
        <v>756</v>
      </c>
      <c r="K38" s="3" t="s">
        <v>981</v>
      </c>
      <c r="N38" s="5" t="s">
        <v>982</v>
      </c>
      <c r="O38" s="5" t="s">
        <v>983</v>
      </c>
      <c r="P38" t="s">
        <v>984</v>
      </c>
    </row>
    <row r="39" spans="1:16" x14ac:dyDescent="0.3">
      <c r="A39" t="s">
        <v>985</v>
      </c>
      <c r="B39" t="s">
        <v>986</v>
      </c>
      <c r="C39" t="s">
        <v>987</v>
      </c>
      <c r="D39" t="s">
        <v>988</v>
      </c>
      <c r="E39" t="s">
        <v>989</v>
      </c>
      <c r="F39">
        <v>116</v>
      </c>
      <c r="G39" t="s">
        <v>990</v>
      </c>
      <c r="I39" s="2" t="s">
        <v>991</v>
      </c>
      <c r="J39" s="2">
        <v>990</v>
      </c>
      <c r="K39" s="3" t="s">
        <v>992</v>
      </c>
      <c r="N39" s="5" t="s">
        <v>993</v>
      </c>
      <c r="O39" s="5" t="s">
        <v>994</v>
      </c>
      <c r="P39" t="s">
        <v>995</v>
      </c>
    </row>
    <row r="40" spans="1:16" x14ac:dyDescent="0.3">
      <c r="A40" t="s">
        <v>996</v>
      </c>
      <c r="B40" t="s">
        <v>997</v>
      </c>
      <c r="C40" t="s">
        <v>998</v>
      </c>
      <c r="D40" t="s">
        <v>999</v>
      </c>
      <c r="E40" t="s">
        <v>1000</v>
      </c>
      <c r="F40">
        <v>950</v>
      </c>
      <c r="G40" t="s">
        <v>1001</v>
      </c>
      <c r="I40" s="2" t="s">
        <v>1002</v>
      </c>
      <c r="J40" s="2">
        <v>0</v>
      </c>
      <c r="K40" s="3" t="s">
        <v>1003</v>
      </c>
      <c r="N40" s="5" t="s">
        <v>1004</v>
      </c>
      <c r="O40" s="5" t="s">
        <v>1005</v>
      </c>
      <c r="P40" t="s">
        <v>1006</v>
      </c>
    </row>
    <row r="41" spans="1:16" x14ac:dyDescent="0.3">
      <c r="A41" t="s">
        <v>1007</v>
      </c>
      <c r="B41" t="s">
        <v>1008</v>
      </c>
      <c r="C41" t="s">
        <v>1009</v>
      </c>
      <c r="D41" t="s">
        <v>1010</v>
      </c>
      <c r="E41" t="s">
        <v>962</v>
      </c>
      <c r="F41">
        <v>124</v>
      </c>
      <c r="G41" t="s">
        <v>963</v>
      </c>
      <c r="I41" s="2" t="s">
        <v>1011</v>
      </c>
      <c r="J41" s="2">
        <v>170</v>
      </c>
      <c r="K41" s="3" t="s">
        <v>1012</v>
      </c>
      <c r="N41" s="5" t="s">
        <v>1013</v>
      </c>
      <c r="O41" s="5" t="s">
        <v>1014</v>
      </c>
      <c r="P41" t="s">
        <v>1015</v>
      </c>
    </row>
    <row r="42" spans="1:16" x14ac:dyDescent="0.3">
      <c r="A42" t="s">
        <v>1016</v>
      </c>
      <c r="B42" t="s">
        <v>1017</v>
      </c>
      <c r="C42" t="s">
        <v>1018</v>
      </c>
      <c r="D42" t="s">
        <v>1019</v>
      </c>
      <c r="E42" t="s">
        <v>1020</v>
      </c>
      <c r="F42">
        <v>132</v>
      </c>
      <c r="G42" t="s">
        <v>1021</v>
      </c>
      <c r="I42" s="2" t="s">
        <v>1022</v>
      </c>
      <c r="J42" s="2">
        <v>188</v>
      </c>
      <c r="K42" s="3" t="s">
        <v>1023</v>
      </c>
      <c r="N42" s="5" t="s">
        <v>1024</v>
      </c>
      <c r="O42" s="5" t="s">
        <v>1025</v>
      </c>
      <c r="P42" t="s">
        <v>1026</v>
      </c>
    </row>
    <row r="43" spans="1:16" x14ac:dyDescent="0.3">
      <c r="A43" t="s">
        <v>1027</v>
      </c>
      <c r="B43" t="s">
        <v>1028</v>
      </c>
      <c r="C43" t="s">
        <v>1029</v>
      </c>
      <c r="D43" t="s">
        <v>1030</v>
      </c>
      <c r="E43" t="s">
        <v>1031</v>
      </c>
      <c r="F43">
        <v>136</v>
      </c>
      <c r="G43" t="s">
        <v>1032</v>
      </c>
      <c r="I43" s="2" t="s">
        <v>1033</v>
      </c>
      <c r="J43" s="2">
        <v>931</v>
      </c>
      <c r="K43" s="3" t="s">
        <v>1034</v>
      </c>
      <c r="N43" s="5" t="s">
        <v>1035</v>
      </c>
      <c r="O43" s="5" t="s">
        <v>1036</v>
      </c>
      <c r="P43" t="s">
        <v>1037</v>
      </c>
    </row>
    <row r="44" spans="1:16" x14ac:dyDescent="0.3">
      <c r="A44" t="s">
        <v>1038</v>
      </c>
      <c r="B44" t="s">
        <v>1039</v>
      </c>
      <c r="C44" t="s">
        <v>1040</v>
      </c>
      <c r="D44" t="s">
        <v>1041</v>
      </c>
      <c r="E44" t="s">
        <v>1000</v>
      </c>
      <c r="F44">
        <v>950</v>
      </c>
      <c r="G44" t="s">
        <v>1001</v>
      </c>
      <c r="I44" s="2" t="s">
        <v>1020</v>
      </c>
      <c r="J44" s="2">
        <v>132</v>
      </c>
      <c r="K44" s="3" t="s">
        <v>1021</v>
      </c>
      <c r="N44" s="5" t="s">
        <v>1042</v>
      </c>
      <c r="O44" s="5" t="s">
        <v>1043</v>
      </c>
      <c r="P44" t="s">
        <v>1044</v>
      </c>
    </row>
    <row r="45" spans="1:16" x14ac:dyDescent="0.3">
      <c r="A45" t="s">
        <v>1045</v>
      </c>
      <c r="B45" t="s">
        <v>1046</v>
      </c>
      <c r="C45" t="s">
        <v>1047</v>
      </c>
      <c r="D45" t="s">
        <v>1048</v>
      </c>
      <c r="E45" t="s">
        <v>1000</v>
      </c>
      <c r="F45">
        <v>950</v>
      </c>
      <c r="G45" t="s">
        <v>1001</v>
      </c>
      <c r="I45" s="2" t="s">
        <v>1049</v>
      </c>
      <c r="J45" s="2">
        <v>203</v>
      </c>
      <c r="K45" s="3" t="s">
        <v>1050</v>
      </c>
      <c r="N45" s="5" t="s">
        <v>1051</v>
      </c>
      <c r="O45" s="5" t="s">
        <v>1052</v>
      </c>
      <c r="P45" t="s">
        <v>1053</v>
      </c>
    </row>
    <row r="46" spans="1:16" x14ac:dyDescent="0.3">
      <c r="A46" t="s">
        <v>1054</v>
      </c>
      <c r="B46" t="s">
        <v>1055</v>
      </c>
      <c r="C46" t="s">
        <v>1056</v>
      </c>
      <c r="D46" t="s">
        <v>1057</v>
      </c>
      <c r="E46" t="s">
        <v>991</v>
      </c>
      <c r="F46">
        <v>990</v>
      </c>
      <c r="G46" t="s">
        <v>992</v>
      </c>
      <c r="I46" s="2" t="s">
        <v>1058</v>
      </c>
      <c r="J46" s="2">
        <v>262</v>
      </c>
      <c r="K46" s="3" t="s">
        <v>1059</v>
      </c>
      <c r="N46" s="5" t="s">
        <v>1060</v>
      </c>
      <c r="O46" s="5" t="s">
        <v>1061</v>
      </c>
      <c r="P46" t="s">
        <v>1062</v>
      </c>
    </row>
    <row r="47" spans="1:16" x14ac:dyDescent="0.3">
      <c r="A47" t="s">
        <v>1063</v>
      </c>
      <c r="B47" t="s">
        <v>1064</v>
      </c>
      <c r="C47" t="s">
        <v>1065</v>
      </c>
      <c r="D47" t="s">
        <v>1066</v>
      </c>
      <c r="E47" t="s">
        <v>1002</v>
      </c>
      <c r="F47">
        <v>0</v>
      </c>
      <c r="G47" t="s">
        <v>1003</v>
      </c>
      <c r="I47" s="2" t="s">
        <v>1067</v>
      </c>
      <c r="J47" s="2">
        <v>208</v>
      </c>
      <c r="K47" s="3" t="s">
        <v>1068</v>
      </c>
      <c r="N47" s="5" t="s">
        <v>1069</v>
      </c>
      <c r="O47" s="5" t="s">
        <v>1070</v>
      </c>
      <c r="P47" t="s">
        <v>1071</v>
      </c>
    </row>
    <row r="48" spans="1:16" x14ac:dyDescent="0.3">
      <c r="A48" t="s">
        <v>1072</v>
      </c>
      <c r="B48" t="s">
        <v>1073</v>
      </c>
      <c r="C48" t="s">
        <v>1074</v>
      </c>
      <c r="D48" t="s">
        <v>1075</v>
      </c>
      <c r="E48" t="s">
        <v>743</v>
      </c>
      <c r="F48">
        <v>36</v>
      </c>
      <c r="G48" t="s">
        <v>744</v>
      </c>
      <c r="I48" s="2" t="s">
        <v>1076</v>
      </c>
      <c r="J48" s="2">
        <v>214</v>
      </c>
      <c r="K48" s="3" t="s">
        <v>1077</v>
      </c>
      <c r="N48" s="5" t="s">
        <v>1078</v>
      </c>
      <c r="O48" s="5" t="s">
        <v>1079</v>
      </c>
      <c r="P48" t="s">
        <v>1080</v>
      </c>
    </row>
    <row r="49" spans="1:16" x14ac:dyDescent="0.3">
      <c r="A49" t="s">
        <v>1081</v>
      </c>
      <c r="B49" t="s">
        <v>1082</v>
      </c>
      <c r="C49" t="s">
        <v>1083</v>
      </c>
      <c r="D49" t="s">
        <v>1084</v>
      </c>
      <c r="E49" t="s">
        <v>743</v>
      </c>
      <c r="F49">
        <v>36</v>
      </c>
      <c r="G49" t="s">
        <v>744</v>
      </c>
      <c r="I49" s="2" t="s">
        <v>634</v>
      </c>
      <c r="J49" s="2">
        <v>12</v>
      </c>
      <c r="K49" s="3" t="s">
        <v>635</v>
      </c>
      <c r="N49" s="5" t="s">
        <v>1085</v>
      </c>
      <c r="O49" s="5" t="s">
        <v>1086</v>
      </c>
      <c r="P49" t="s">
        <v>1087</v>
      </c>
    </row>
    <row r="50" spans="1:16" x14ac:dyDescent="0.3">
      <c r="A50" t="s">
        <v>1088</v>
      </c>
      <c r="B50" t="s">
        <v>1089</v>
      </c>
      <c r="C50" t="s">
        <v>1090</v>
      </c>
      <c r="D50" t="s">
        <v>1091</v>
      </c>
      <c r="E50" t="s">
        <v>1011</v>
      </c>
      <c r="F50">
        <v>170</v>
      </c>
      <c r="G50" t="s">
        <v>1012</v>
      </c>
      <c r="I50" s="2" t="s">
        <v>1092</v>
      </c>
      <c r="J50" s="2">
        <v>818</v>
      </c>
      <c r="K50" s="3" t="s">
        <v>1093</v>
      </c>
      <c r="N50" s="5" t="s">
        <v>1094</v>
      </c>
      <c r="O50" s="5" t="s">
        <v>1095</v>
      </c>
      <c r="P50" t="s">
        <v>1096</v>
      </c>
    </row>
    <row r="51" spans="1:16" x14ac:dyDescent="0.3">
      <c r="A51" t="s">
        <v>1097</v>
      </c>
      <c r="B51" t="s">
        <v>1098</v>
      </c>
      <c r="C51" t="s">
        <v>1099</v>
      </c>
      <c r="D51" t="s">
        <v>1100</v>
      </c>
      <c r="E51" t="s">
        <v>1101</v>
      </c>
      <c r="F51">
        <v>174</v>
      </c>
      <c r="G51" t="s">
        <v>1102</v>
      </c>
      <c r="I51" s="2" t="s">
        <v>1103</v>
      </c>
      <c r="J51" s="2">
        <v>232</v>
      </c>
      <c r="K51" s="3" t="s">
        <v>1104</v>
      </c>
      <c r="N51" s="5" t="s">
        <v>1105</v>
      </c>
      <c r="O51" s="5" t="s">
        <v>1106</v>
      </c>
      <c r="P51" t="s">
        <v>1107</v>
      </c>
    </row>
    <row r="52" spans="1:16" x14ac:dyDescent="0.3">
      <c r="A52" t="s">
        <v>1108</v>
      </c>
      <c r="B52" t="s">
        <v>1109</v>
      </c>
      <c r="C52" t="s">
        <v>1110</v>
      </c>
      <c r="D52" t="s">
        <v>1111</v>
      </c>
      <c r="E52" t="s">
        <v>1022</v>
      </c>
      <c r="F52">
        <v>188</v>
      </c>
      <c r="G52" t="s">
        <v>1023</v>
      </c>
      <c r="I52" s="2" t="s">
        <v>1112</v>
      </c>
      <c r="J52" s="2">
        <v>230</v>
      </c>
      <c r="K52" s="3" t="s">
        <v>1113</v>
      </c>
      <c r="N52" s="5" t="s">
        <v>1114</v>
      </c>
      <c r="O52" s="5" t="s">
        <v>1115</v>
      </c>
      <c r="P52" t="s">
        <v>1116</v>
      </c>
    </row>
    <row r="53" spans="1:16" x14ac:dyDescent="0.3">
      <c r="A53" t="s">
        <v>1117</v>
      </c>
      <c r="B53" t="s">
        <v>1118</v>
      </c>
      <c r="C53" t="s">
        <v>1119</v>
      </c>
      <c r="D53" t="s">
        <v>1120</v>
      </c>
      <c r="E53" t="s">
        <v>866</v>
      </c>
      <c r="F53">
        <v>952</v>
      </c>
      <c r="G53" t="s">
        <v>867</v>
      </c>
      <c r="I53" s="2" t="s">
        <v>606</v>
      </c>
      <c r="J53" s="2">
        <v>978</v>
      </c>
      <c r="K53" s="3" t="s">
        <v>607</v>
      </c>
      <c r="N53" s="5" t="s">
        <v>1121</v>
      </c>
      <c r="O53" s="5" t="s">
        <v>1122</v>
      </c>
      <c r="P53" t="s">
        <v>1123</v>
      </c>
    </row>
    <row r="54" spans="1:16" x14ac:dyDescent="0.3">
      <c r="A54" t="s">
        <v>1124</v>
      </c>
      <c r="B54" t="s">
        <v>1125</v>
      </c>
      <c r="C54" t="s">
        <v>1126</v>
      </c>
      <c r="D54" t="s">
        <v>1127</v>
      </c>
      <c r="E54" t="s">
        <v>1128</v>
      </c>
      <c r="F54">
        <v>191</v>
      </c>
      <c r="G54" t="s">
        <v>1129</v>
      </c>
      <c r="I54" s="2" t="s">
        <v>1130</v>
      </c>
      <c r="J54" s="2">
        <v>242</v>
      </c>
      <c r="K54" s="3" t="s">
        <v>1131</v>
      </c>
      <c r="N54" s="5" t="s">
        <v>1132</v>
      </c>
      <c r="O54" s="5" t="s">
        <v>1133</v>
      </c>
      <c r="P54" t="s">
        <v>1134</v>
      </c>
    </row>
    <row r="55" spans="1:16" x14ac:dyDescent="0.3">
      <c r="A55" t="s">
        <v>1135</v>
      </c>
      <c r="B55" t="s">
        <v>1136</v>
      </c>
      <c r="C55" t="s">
        <v>1137</v>
      </c>
      <c r="D55" t="s">
        <v>1138</v>
      </c>
      <c r="E55" t="s">
        <v>1033</v>
      </c>
      <c r="F55">
        <v>931</v>
      </c>
      <c r="G55" t="s">
        <v>1034</v>
      </c>
      <c r="I55" s="2" t="s">
        <v>1139</v>
      </c>
      <c r="J55" s="2">
        <v>238</v>
      </c>
      <c r="K55" s="3" t="s">
        <v>1140</v>
      </c>
      <c r="N55" s="5" t="s">
        <v>1141</v>
      </c>
      <c r="O55" s="5" t="s">
        <v>1142</v>
      </c>
      <c r="P55" t="s">
        <v>1143</v>
      </c>
    </row>
    <row r="56" spans="1:16" x14ac:dyDescent="0.3">
      <c r="A56" t="s">
        <v>1144</v>
      </c>
      <c r="B56" t="s">
        <v>1145</v>
      </c>
      <c r="C56" t="s">
        <v>1146</v>
      </c>
      <c r="D56" t="s">
        <v>1147</v>
      </c>
      <c r="E56" t="s">
        <v>606</v>
      </c>
      <c r="F56">
        <v>978</v>
      </c>
      <c r="G56" t="s">
        <v>607</v>
      </c>
      <c r="I56" s="2" t="s">
        <v>1148</v>
      </c>
      <c r="J56" s="2">
        <v>826</v>
      </c>
      <c r="K56" s="3" t="s">
        <v>1149</v>
      </c>
      <c r="N56" s="5" t="s">
        <v>1150</v>
      </c>
      <c r="O56" s="5" t="s">
        <v>1151</v>
      </c>
      <c r="P56" t="s">
        <v>1152</v>
      </c>
    </row>
    <row r="57" spans="1:16" x14ac:dyDescent="0.3">
      <c r="A57" t="s">
        <v>1153</v>
      </c>
      <c r="B57" t="s">
        <v>1154</v>
      </c>
      <c r="C57" t="s">
        <v>1155</v>
      </c>
      <c r="D57" t="s">
        <v>1156</v>
      </c>
      <c r="E57" t="s">
        <v>1049</v>
      </c>
      <c r="F57">
        <v>203</v>
      </c>
      <c r="G57" t="s">
        <v>1050</v>
      </c>
      <c r="I57" s="2" t="s">
        <v>1157</v>
      </c>
      <c r="J57" s="2">
        <v>981</v>
      </c>
      <c r="K57" s="3" t="s">
        <v>1158</v>
      </c>
      <c r="N57" s="5" t="s">
        <v>1159</v>
      </c>
      <c r="O57" s="5" t="s">
        <v>1160</v>
      </c>
      <c r="P57" t="s">
        <v>1161</v>
      </c>
    </row>
    <row r="58" spans="1:16" x14ac:dyDescent="0.3">
      <c r="A58" t="s">
        <v>1162</v>
      </c>
      <c r="B58" t="s">
        <v>1163</v>
      </c>
      <c r="C58" t="s">
        <v>1164</v>
      </c>
      <c r="D58" t="s">
        <v>1165</v>
      </c>
      <c r="E58" t="s">
        <v>971</v>
      </c>
      <c r="F58">
        <v>976</v>
      </c>
      <c r="G58" t="s">
        <v>972</v>
      </c>
      <c r="I58" s="2" t="s">
        <v>1166</v>
      </c>
      <c r="J58" s="2">
        <v>0</v>
      </c>
      <c r="K58" s="3" t="s">
        <v>1167</v>
      </c>
      <c r="N58" s="5" t="s">
        <v>1168</v>
      </c>
      <c r="O58" s="5" t="s">
        <v>1169</v>
      </c>
      <c r="P58" t="s">
        <v>1170</v>
      </c>
    </row>
    <row r="59" spans="1:16" x14ac:dyDescent="0.3">
      <c r="A59" t="s">
        <v>1171</v>
      </c>
      <c r="B59" t="s">
        <v>1172</v>
      </c>
      <c r="C59" t="s">
        <v>1173</v>
      </c>
      <c r="D59" t="s">
        <v>1174</v>
      </c>
      <c r="E59" t="s">
        <v>1067</v>
      </c>
      <c r="F59">
        <v>208</v>
      </c>
      <c r="G59" t="s">
        <v>1068</v>
      </c>
      <c r="I59" s="2" t="s">
        <v>1175</v>
      </c>
      <c r="J59" s="2">
        <v>936</v>
      </c>
      <c r="K59" s="3" t="s">
        <v>1176</v>
      </c>
      <c r="N59" s="5" t="s">
        <v>1177</v>
      </c>
      <c r="O59" s="5" t="s">
        <v>1178</v>
      </c>
      <c r="P59" t="s">
        <v>1179</v>
      </c>
    </row>
    <row r="60" spans="1:16" x14ac:dyDescent="0.3">
      <c r="A60" t="s">
        <v>1180</v>
      </c>
      <c r="B60" t="s">
        <v>1181</v>
      </c>
      <c r="C60" t="s">
        <v>1182</v>
      </c>
      <c r="D60" t="s">
        <v>1183</v>
      </c>
      <c r="E60" t="s">
        <v>1058</v>
      </c>
      <c r="F60">
        <v>262</v>
      </c>
      <c r="G60" t="s">
        <v>1059</v>
      </c>
      <c r="I60" s="2" t="s">
        <v>1184</v>
      </c>
      <c r="J60" s="2">
        <v>292</v>
      </c>
      <c r="K60" s="3" t="s">
        <v>1185</v>
      </c>
      <c r="N60" s="5" t="s">
        <v>1186</v>
      </c>
      <c r="O60" s="5" t="s">
        <v>1187</v>
      </c>
      <c r="P60" t="s">
        <v>1188</v>
      </c>
    </row>
    <row r="61" spans="1:16" x14ac:dyDescent="0.3">
      <c r="A61" t="s">
        <v>1189</v>
      </c>
      <c r="B61" t="s">
        <v>1190</v>
      </c>
      <c r="C61" t="s">
        <v>1191</v>
      </c>
      <c r="D61" t="s">
        <v>1192</v>
      </c>
      <c r="E61" t="s">
        <v>681</v>
      </c>
      <c r="F61">
        <v>951</v>
      </c>
      <c r="G61" t="s">
        <v>682</v>
      </c>
      <c r="I61" s="2" t="s">
        <v>1193</v>
      </c>
      <c r="J61" s="2">
        <v>270</v>
      </c>
      <c r="K61" s="3" t="s">
        <v>1194</v>
      </c>
      <c r="N61" s="5" t="s">
        <v>1195</v>
      </c>
      <c r="O61" s="5" t="s">
        <v>1196</v>
      </c>
      <c r="P61" t="s">
        <v>1197</v>
      </c>
    </row>
    <row r="62" spans="1:16" x14ac:dyDescent="0.3">
      <c r="A62" t="s">
        <v>1198</v>
      </c>
      <c r="B62" t="s">
        <v>1199</v>
      </c>
      <c r="C62" t="s">
        <v>1200</v>
      </c>
      <c r="D62" t="s">
        <v>1201</v>
      </c>
      <c r="E62" t="s">
        <v>1076</v>
      </c>
      <c r="F62">
        <v>214</v>
      </c>
      <c r="G62" t="s">
        <v>1077</v>
      </c>
      <c r="I62" s="2" t="s">
        <v>1202</v>
      </c>
      <c r="J62" s="2">
        <v>324</v>
      </c>
      <c r="K62" s="3" t="s">
        <v>1203</v>
      </c>
      <c r="N62" s="5" t="s">
        <v>1204</v>
      </c>
      <c r="O62" s="5" t="s">
        <v>1205</v>
      </c>
      <c r="P62" t="s">
        <v>182</v>
      </c>
    </row>
    <row r="63" spans="1:16" x14ac:dyDescent="0.3">
      <c r="A63" t="s">
        <v>1206</v>
      </c>
      <c r="B63" t="s">
        <v>1207</v>
      </c>
      <c r="C63" t="s">
        <v>1208</v>
      </c>
      <c r="D63" t="s">
        <v>1209</v>
      </c>
      <c r="E63" t="s">
        <v>185</v>
      </c>
      <c r="F63">
        <v>840</v>
      </c>
      <c r="G63" t="s">
        <v>577</v>
      </c>
      <c r="I63" s="2" t="s">
        <v>1210</v>
      </c>
      <c r="J63" s="2">
        <v>320</v>
      </c>
      <c r="K63" s="3" t="s">
        <v>1211</v>
      </c>
      <c r="N63" s="5" t="s">
        <v>1212</v>
      </c>
      <c r="O63" s="5" t="s">
        <v>1213</v>
      </c>
      <c r="P63" t="s">
        <v>1214</v>
      </c>
    </row>
    <row r="64" spans="1:16" x14ac:dyDescent="0.3">
      <c r="A64" t="s">
        <v>1215</v>
      </c>
      <c r="B64" t="s">
        <v>1216</v>
      </c>
      <c r="C64" t="s">
        <v>1217</v>
      </c>
      <c r="D64" t="s">
        <v>1218</v>
      </c>
      <c r="E64" t="s">
        <v>1092</v>
      </c>
      <c r="F64">
        <v>818</v>
      </c>
      <c r="G64" t="s">
        <v>1093</v>
      </c>
      <c r="I64" s="2" t="s">
        <v>1219</v>
      </c>
      <c r="J64" s="2">
        <v>328</v>
      </c>
      <c r="K64" s="3" t="s">
        <v>1220</v>
      </c>
      <c r="N64" s="5" t="s">
        <v>1221</v>
      </c>
      <c r="O64" s="5" t="s">
        <v>1222</v>
      </c>
      <c r="P64" t="s">
        <v>187</v>
      </c>
    </row>
    <row r="65" spans="1:16" x14ac:dyDescent="0.3">
      <c r="A65" t="s">
        <v>1223</v>
      </c>
      <c r="B65" t="s">
        <v>1224</v>
      </c>
      <c r="C65" t="s">
        <v>1225</v>
      </c>
      <c r="D65" t="s">
        <v>1226</v>
      </c>
      <c r="E65" t="s">
        <v>185</v>
      </c>
      <c r="F65">
        <v>840</v>
      </c>
      <c r="G65" t="s">
        <v>577</v>
      </c>
      <c r="I65" s="2" t="s">
        <v>1227</v>
      </c>
      <c r="J65" s="2">
        <v>344</v>
      </c>
      <c r="K65" s="3" t="s">
        <v>1228</v>
      </c>
      <c r="N65" s="5" t="s">
        <v>1229</v>
      </c>
      <c r="O65" s="5" t="s">
        <v>1230</v>
      </c>
      <c r="P65" t="s">
        <v>1231</v>
      </c>
    </row>
    <row r="66" spans="1:16" x14ac:dyDescent="0.3">
      <c r="A66" t="s">
        <v>1232</v>
      </c>
      <c r="B66" t="s">
        <v>1233</v>
      </c>
      <c r="C66" t="s">
        <v>1234</v>
      </c>
      <c r="D66" t="s">
        <v>1235</v>
      </c>
      <c r="E66" t="s">
        <v>1000</v>
      </c>
      <c r="F66">
        <v>950</v>
      </c>
      <c r="G66" t="s">
        <v>1001</v>
      </c>
      <c r="I66" s="2" t="s">
        <v>1236</v>
      </c>
      <c r="J66" s="2">
        <v>340</v>
      </c>
      <c r="K66" s="3" t="s">
        <v>1237</v>
      </c>
      <c r="N66" s="5" t="s">
        <v>1238</v>
      </c>
      <c r="O66" s="5" t="s">
        <v>1239</v>
      </c>
      <c r="P66" t="s">
        <v>1240</v>
      </c>
    </row>
    <row r="67" spans="1:16" x14ac:dyDescent="0.3">
      <c r="A67" t="s">
        <v>1241</v>
      </c>
      <c r="B67" t="s">
        <v>1242</v>
      </c>
      <c r="C67" t="s">
        <v>1243</v>
      </c>
      <c r="D67" t="s">
        <v>1244</v>
      </c>
      <c r="E67" t="s">
        <v>1103</v>
      </c>
      <c r="F67">
        <v>232</v>
      </c>
      <c r="G67" t="s">
        <v>1104</v>
      </c>
      <c r="I67" s="2" t="s">
        <v>1128</v>
      </c>
      <c r="J67" s="2">
        <v>191</v>
      </c>
      <c r="K67" s="3" t="s">
        <v>1129</v>
      </c>
      <c r="N67" s="5" t="s">
        <v>1245</v>
      </c>
      <c r="O67" s="5" t="s">
        <v>1246</v>
      </c>
      <c r="P67" t="s">
        <v>200</v>
      </c>
    </row>
    <row r="68" spans="1:16" x14ac:dyDescent="0.3">
      <c r="A68" t="s">
        <v>1247</v>
      </c>
      <c r="B68" t="s">
        <v>1248</v>
      </c>
      <c r="C68" t="s">
        <v>1249</v>
      </c>
      <c r="D68" t="s">
        <v>1250</v>
      </c>
      <c r="E68" t="s">
        <v>606</v>
      </c>
      <c r="F68">
        <v>978</v>
      </c>
      <c r="G68" t="s">
        <v>607</v>
      </c>
      <c r="I68" s="2" t="s">
        <v>1251</v>
      </c>
      <c r="J68" s="2">
        <v>332</v>
      </c>
      <c r="K68" s="3" t="s">
        <v>1252</v>
      </c>
      <c r="N68" s="5" t="s">
        <v>1253</v>
      </c>
      <c r="O68" s="5" t="s">
        <v>1254</v>
      </c>
      <c r="P68" t="s">
        <v>1255</v>
      </c>
    </row>
    <row r="69" spans="1:16" x14ac:dyDescent="0.3">
      <c r="A69" t="s">
        <v>1256</v>
      </c>
      <c r="B69" t="s">
        <v>1257</v>
      </c>
      <c r="C69" t="s">
        <v>1258</v>
      </c>
      <c r="D69" t="s">
        <v>1259</v>
      </c>
      <c r="E69" t="s">
        <v>1260</v>
      </c>
      <c r="F69">
        <v>748</v>
      </c>
      <c r="G69" t="s">
        <v>1261</v>
      </c>
      <c r="I69" s="2" t="s">
        <v>1262</v>
      </c>
      <c r="J69" s="2">
        <v>348</v>
      </c>
      <c r="K69" s="3" t="s">
        <v>1263</v>
      </c>
      <c r="N69" s="5" t="s">
        <v>1264</v>
      </c>
      <c r="O69" s="5" t="s">
        <v>1265</v>
      </c>
      <c r="P69" t="s">
        <v>1266</v>
      </c>
    </row>
    <row r="70" spans="1:16" x14ac:dyDescent="0.3">
      <c r="A70" t="s">
        <v>1267</v>
      </c>
      <c r="B70" t="s">
        <v>1268</v>
      </c>
      <c r="C70" t="s">
        <v>1269</v>
      </c>
      <c r="D70" t="s">
        <v>1270</v>
      </c>
      <c r="E70" t="s">
        <v>1112</v>
      </c>
      <c r="F70">
        <v>230</v>
      </c>
      <c r="G70" t="s">
        <v>1113</v>
      </c>
      <c r="I70" s="2" t="s">
        <v>1271</v>
      </c>
      <c r="J70" s="2">
        <v>360</v>
      </c>
      <c r="K70" s="3" t="s">
        <v>1272</v>
      </c>
      <c r="N70" s="5" t="s">
        <v>1273</v>
      </c>
      <c r="O70" s="5" t="s">
        <v>1274</v>
      </c>
      <c r="P70" t="s">
        <v>1275</v>
      </c>
    </row>
    <row r="71" spans="1:16" x14ac:dyDescent="0.3">
      <c r="A71" t="s">
        <v>1276</v>
      </c>
      <c r="B71" t="s">
        <v>1277</v>
      </c>
      <c r="C71" t="s">
        <v>1278</v>
      </c>
      <c r="D71" t="s">
        <v>1279</v>
      </c>
      <c r="E71" t="s">
        <v>1139</v>
      </c>
      <c r="F71">
        <v>238</v>
      </c>
      <c r="G71" t="s">
        <v>1140</v>
      </c>
      <c r="I71" s="2" t="s">
        <v>1280</v>
      </c>
      <c r="J71" s="2">
        <v>376</v>
      </c>
      <c r="K71" s="3" t="s">
        <v>1281</v>
      </c>
      <c r="N71" s="5" t="s">
        <v>1282</v>
      </c>
      <c r="O71" s="5" t="s">
        <v>1283</v>
      </c>
      <c r="P71" t="s">
        <v>1284</v>
      </c>
    </row>
    <row r="72" spans="1:16" x14ac:dyDescent="0.3">
      <c r="A72" t="s">
        <v>1285</v>
      </c>
      <c r="B72" t="s">
        <v>1286</v>
      </c>
      <c r="C72" t="s">
        <v>1287</v>
      </c>
      <c r="D72" t="s">
        <v>1288</v>
      </c>
      <c r="E72" t="s">
        <v>1067</v>
      </c>
      <c r="F72">
        <v>208</v>
      </c>
      <c r="G72" t="s">
        <v>1068</v>
      </c>
      <c r="I72" s="2" t="s">
        <v>1289</v>
      </c>
      <c r="J72" s="2">
        <v>0</v>
      </c>
      <c r="K72" s="3" t="s">
        <v>1290</v>
      </c>
      <c r="N72" s="5" t="s">
        <v>1291</v>
      </c>
      <c r="O72" s="5" t="s">
        <v>1292</v>
      </c>
      <c r="P72" t="s">
        <v>1293</v>
      </c>
    </row>
    <row r="73" spans="1:16" x14ac:dyDescent="0.3">
      <c r="A73" t="s">
        <v>1294</v>
      </c>
      <c r="B73" t="s">
        <v>1295</v>
      </c>
      <c r="C73" t="s">
        <v>1296</v>
      </c>
      <c r="D73" t="s">
        <v>1297</v>
      </c>
      <c r="E73" t="s">
        <v>1130</v>
      </c>
      <c r="F73">
        <v>242</v>
      </c>
      <c r="G73" t="s">
        <v>1131</v>
      </c>
      <c r="I73" s="2" t="s">
        <v>1298</v>
      </c>
      <c r="J73" s="2">
        <v>356</v>
      </c>
      <c r="K73" s="3" t="s">
        <v>1299</v>
      </c>
      <c r="N73" s="5">
        <v>7103</v>
      </c>
      <c r="O73" s="5" t="s">
        <v>1300</v>
      </c>
      <c r="P73" s="5" t="s">
        <v>1301</v>
      </c>
    </row>
    <row r="74" spans="1:16" x14ac:dyDescent="0.3">
      <c r="A74" t="s">
        <v>1302</v>
      </c>
      <c r="B74" t="s">
        <v>1303</v>
      </c>
      <c r="C74" t="s">
        <v>1304</v>
      </c>
      <c r="D74" t="s">
        <v>1305</v>
      </c>
      <c r="E74" t="s">
        <v>606</v>
      </c>
      <c r="F74">
        <v>978</v>
      </c>
      <c r="G74" t="s">
        <v>607</v>
      </c>
      <c r="I74" s="2" t="s">
        <v>1306</v>
      </c>
      <c r="J74" s="2">
        <v>368</v>
      </c>
      <c r="K74" s="3" t="s">
        <v>1307</v>
      </c>
      <c r="N74" s="109">
        <v>7202</v>
      </c>
      <c r="O74" t="s">
        <v>1308</v>
      </c>
      <c r="P74" t="s">
        <v>1309</v>
      </c>
    </row>
    <row r="75" spans="1:16" x14ac:dyDescent="0.3">
      <c r="A75" t="s">
        <v>1310</v>
      </c>
      <c r="B75" t="s">
        <v>1311</v>
      </c>
      <c r="C75" t="s">
        <v>1312</v>
      </c>
      <c r="D75" t="s">
        <v>1313</v>
      </c>
      <c r="E75" t="s">
        <v>606</v>
      </c>
      <c r="F75">
        <v>978</v>
      </c>
      <c r="G75" t="s">
        <v>607</v>
      </c>
      <c r="I75" s="2" t="s">
        <v>1314</v>
      </c>
      <c r="J75" s="2">
        <v>364</v>
      </c>
      <c r="K75" s="3" t="s">
        <v>1315</v>
      </c>
    </row>
    <row r="76" spans="1:16" x14ac:dyDescent="0.3">
      <c r="A76" t="s">
        <v>1316</v>
      </c>
      <c r="B76" t="s">
        <v>1317</v>
      </c>
      <c r="C76" t="s">
        <v>1318</v>
      </c>
      <c r="D76" t="s">
        <v>1319</v>
      </c>
      <c r="E76" t="s">
        <v>606</v>
      </c>
      <c r="F76">
        <v>978</v>
      </c>
      <c r="G76" t="s">
        <v>607</v>
      </c>
      <c r="I76" s="2" t="s">
        <v>1320</v>
      </c>
      <c r="J76" s="2">
        <v>352</v>
      </c>
      <c r="K76" s="3" t="s">
        <v>1321</v>
      </c>
    </row>
    <row r="77" spans="1:16" x14ac:dyDescent="0.3">
      <c r="A77" t="s">
        <v>1322</v>
      </c>
      <c r="B77" t="s">
        <v>1323</v>
      </c>
      <c r="C77" t="s">
        <v>1324</v>
      </c>
      <c r="D77" t="s">
        <v>1325</v>
      </c>
      <c r="E77" t="s">
        <v>606</v>
      </c>
      <c r="F77">
        <v>978</v>
      </c>
      <c r="G77" t="s">
        <v>607</v>
      </c>
      <c r="I77" s="2" t="s">
        <v>1326</v>
      </c>
      <c r="J77" s="2">
        <v>0</v>
      </c>
      <c r="K77" s="3" t="s">
        <v>1327</v>
      </c>
    </row>
    <row r="78" spans="1:16" x14ac:dyDescent="0.3">
      <c r="A78" t="s">
        <v>1328</v>
      </c>
      <c r="B78" t="s">
        <v>1329</v>
      </c>
      <c r="C78" t="s">
        <v>1330</v>
      </c>
      <c r="D78" t="s">
        <v>1331</v>
      </c>
      <c r="E78" t="s">
        <v>606</v>
      </c>
      <c r="F78">
        <v>978</v>
      </c>
      <c r="G78" t="s">
        <v>607</v>
      </c>
      <c r="I78" s="2" t="s">
        <v>1332</v>
      </c>
      <c r="J78" s="2">
        <v>388</v>
      </c>
      <c r="K78" s="3" t="s">
        <v>1333</v>
      </c>
    </row>
    <row r="79" spans="1:16" x14ac:dyDescent="0.3">
      <c r="A79" t="s">
        <v>1334</v>
      </c>
      <c r="B79" t="s">
        <v>1335</v>
      </c>
      <c r="C79" t="s">
        <v>1336</v>
      </c>
      <c r="D79" t="s">
        <v>1337</v>
      </c>
      <c r="E79" t="s">
        <v>1000</v>
      </c>
      <c r="F79">
        <v>950</v>
      </c>
      <c r="G79" t="s">
        <v>1001</v>
      </c>
      <c r="I79" s="2" t="s">
        <v>1338</v>
      </c>
      <c r="J79" s="2">
        <v>400</v>
      </c>
      <c r="K79" s="3" t="s">
        <v>1339</v>
      </c>
    </row>
    <row r="80" spans="1:16" x14ac:dyDescent="0.3">
      <c r="A80" t="s">
        <v>1340</v>
      </c>
      <c r="B80" t="s">
        <v>1341</v>
      </c>
      <c r="C80" t="s">
        <v>1342</v>
      </c>
      <c r="D80" t="s">
        <v>1343</v>
      </c>
      <c r="E80" t="s">
        <v>1193</v>
      </c>
      <c r="F80">
        <v>270</v>
      </c>
      <c r="G80" t="s">
        <v>1194</v>
      </c>
      <c r="I80" s="2" t="s">
        <v>1344</v>
      </c>
      <c r="J80" s="2">
        <v>392</v>
      </c>
      <c r="K80" s="3" t="s">
        <v>1345</v>
      </c>
    </row>
    <row r="81" spans="1:11" x14ac:dyDescent="0.3">
      <c r="A81" t="s">
        <v>1346</v>
      </c>
      <c r="B81" t="s">
        <v>1347</v>
      </c>
      <c r="C81" t="s">
        <v>1348</v>
      </c>
      <c r="D81" t="s">
        <v>1349</v>
      </c>
      <c r="E81" t="s">
        <v>1157</v>
      </c>
      <c r="F81">
        <v>981</v>
      </c>
      <c r="G81" t="s">
        <v>1158</v>
      </c>
      <c r="I81" s="2" t="s">
        <v>1350</v>
      </c>
      <c r="J81" s="2">
        <v>404</v>
      </c>
      <c r="K81" s="3" t="s">
        <v>1351</v>
      </c>
    </row>
    <row r="82" spans="1:11" x14ac:dyDescent="0.3">
      <c r="A82" t="s">
        <v>1352</v>
      </c>
      <c r="B82" t="s">
        <v>1353</v>
      </c>
      <c r="C82" t="s">
        <v>1354</v>
      </c>
      <c r="D82" t="s">
        <v>1355</v>
      </c>
      <c r="E82" t="s">
        <v>606</v>
      </c>
      <c r="F82">
        <v>978</v>
      </c>
      <c r="G82" t="s">
        <v>607</v>
      </c>
      <c r="I82" s="2" t="s">
        <v>1356</v>
      </c>
      <c r="J82" s="2">
        <v>417</v>
      </c>
      <c r="K82" s="3" t="s">
        <v>1357</v>
      </c>
    </row>
    <row r="83" spans="1:11" x14ac:dyDescent="0.3">
      <c r="A83" t="s">
        <v>1358</v>
      </c>
      <c r="B83" t="s">
        <v>1359</v>
      </c>
      <c r="C83" t="s">
        <v>1360</v>
      </c>
      <c r="D83" t="s">
        <v>1361</v>
      </c>
      <c r="E83" t="s">
        <v>1175</v>
      </c>
      <c r="F83">
        <v>936</v>
      </c>
      <c r="G83" t="s">
        <v>1176</v>
      </c>
      <c r="I83" s="2" t="s">
        <v>989</v>
      </c>
      <c r="J83" s="2">
        <v>116</v>
      </c>
      <c r="K83" s="3" t="s">
        <v>990</v>
      </c>
    </row>
    <row r="84" spans="1:11" x14ac:dyDescent="0.3">
      <c r="A84" t="s">
        <v>1362</v>
      </c>
      <c r="B84" t="s">
        <v>1363</v>
      </c>
      <c r="C84" t="s">
        <v>1364</v>
      </c>
      <c r="D84" t="s">
        <v>1365</v>
      </c>
      <c r="E84" t="s">
        <v>1184</v>
      </c>
      <c r="F84">
        <v>292</v>
      </c>
      <c r="G84" t="s">
        <v>1185</v>
      </c>
      <c r="I84" s="2" t="s">
        <v>1101</v>
      </c>
      <c r="J84" s="2">
        <v>174</v>
      </c>
      <c r="K84" s="3" t="s">
        <v>1102</v>
      </c>
    </row>
    <row r="85" spans="1:11" x14ac:dyDescent="0.3">
      <c r="A85" t="s">
        <v>1366</v>
      </c>
      <c r="B85" t="s">
        <v>1367</v>
      </c>
      <c r="C85" t="s">
        <v>1368</v>
      </c>
      <c r="D85" t="s">
        <v>1369</v>
      </c>
      <c r="E85" t="s">
        <v>606</v>
      </c>
      <c r="F85">
        <v>978</v>
      </c>
      <c r="G85" t="s">
        <v>607</v>
      </c>
      <c r="I85" s="2" t="s">
        <v>1370</v>
      </c>
      <c r="J85" s="2">
        <v>408</v>
      </c>
      <c r="K85" s="3" t="s">
        <v>1371</v>
      </c>
    </row>
    <row r="86" spans="1:11" x14ac:dyDescent="0.3">
      <c r="A86" t="s">
        <v>1372</v>
      </c>
      <c r="B86" t="s">
        <v>1373</v>
      </c>
      <c r="C86" t="s">
        <v>1374</v>
      </c>
      <c r="D86" t="s">
        <v>1375</v>
      </c>
      <c r="E86" t="s">
        <v>1067</v>
      </c>
      <c r="F86">
        <v>208</v>
      </c>
      <c r="G86" t="s">
        <v>1068</v>
      </c>
      <c r="I86" s="2" t="s">
        <v>1376</v>
      </c>
      <c r="J86" s="2">
        <v>410</v>
      </c>
      <c r="K86" s="3" t="s">
        <v>1377</v>
      </c>
    </row>
    <row r="87" spans="1:11" x14ac:dyDescent="0.3">
      <c r="A87" t="s">
        <v>1378</v>
      </c>
      <c r="B87" t="s">
        <v>1379</v>
      </c>
      <c r="C87" t="s">
        <v>1380</v>
      </c>
      <c r="D87" t="s">
        <v>1381</v>
      </c>
      <c r="E87" t="s">
        <v>681</v>
      </c>
      <c r="F87">
        <v>951</v>
      </c>
      <c r="G87" t="s">
        <v>682</v>
      </c>
      <c r="I87" s="2" t="s">
        <v>1382</v>
      </c>
      <c r="J87" s="2">
        <v>414</v>
      </c>
      <c r="K87" s="3" t="s">
        <v>1383</v>
      </c>
    </row>
    <row r="88" spans="1:11" x14ac:dyDescent="0.3">
      <c r="A88" t="s">
        <v>1384</v>
      </c>
      <c r="B88" t="s">
        <v>1385</v>
      </c>
      <c r="C88" t="s">
        <v>1386</v>
      </c>
      <c r="D88" t="s">
        <v>1387</v>
      </c>
      <c r="E88" t="s">
        <v>606</v>
      </c>
      <c r="F88">
        <v>978</v>
      </c>
      <c r="G88" t="s">
        <v>607</v>
      </c>
      <c r="I88" s="2" t="s">
        <v>1031</v>
      </c>
      <c r="J88" s="2">
        <v>136</v>
      </c>
      <c r="K88" s="3" t="s">
        <v>1032</v>
      </c>
    </row>
    <row r="89" spans="1:11" x14ac:dyDescent="0.3">
      <c r="A89" t="s">
        <v>1388</v>
      </c>
      <c r="B89" t="s">
        <v>1389</v>
      </c>
      <c r="C89" t="s">
        <v>1390</v>
      </c>
      <c r="D89" t="s">
        <v>1391</v>
      </c>
      <c r="E89" t="s">
        <v>185</v>
      </c>
      <c r="F89">
        <v>840</v>
      </c>
      <c r="G89" t="s">
        <v>577</v>
      </c>
      <c r="I89" s="2" t="s">
        <v>1392</v>
      </c>
      <c r="J89" s="2">
        <v>398</v>
      </c>
      <c r="K89" s="3" t="s">
        <v>1393</v>
      </c>
    </row>
    <row r="90" spans="1:11" x14ac:dyDescent="0.3">
      <c r="A90" t="s">
        <v>1394</v>
      </c>
      <c r="B90" t="s">
        <v>1395</v>
      </c>
      <c r="C90" t="s">
        <v>1396</v>
      </c>
      <c r="D90" t="s">
        <v>1397</v>
      </c>
      <c r="E90" t="s">
        <v>1210</v>
      </c>
      <c r="F90">
        <v>320</v>
      </c>
      <c r="G90" t="s">
        <v>1211</v>
      </c>
      <c r="I90" s="2" t="s">
        <v>1398</v>
      </c>
      <c r="J90" s="2">
        <v>418</v>
      </c>
      <c r="K90" s="3" t="s">
        <v>1399</v>
      </c>
    </row>
    <row r="91" spans="1:11" x14ac:dyDescent="0.3">
      <c r="A91" t="s">
        <v>1400</v>
      </c>
      <c r="B91" t="s">
        <v>1401</v>
      </c>
      <c r="C91" t="s">
        <v>1402</v>
      </c>
      <c r="D91" t="s">
        <v>1403</v>
      </c>
      <c r="E91" t="s">
        <v>1166</v>
      </c>
      <c r="F91">
        <v>0</v>
      </c>
      <c r="G91" t="s">
        <v>1167</v>
      </c>
      <c r="I91" s="2" t="s">
        <v>1404</v>
      </c>
      <c r="J91" s="2">
        <v>422</v>
      </c>
      <c r="K91" s="3" t="s">
        <v>1405</v>
      </c>
    </row>
    <row r="92" spans="1:11" x14ac:dyDescent="0.3">
      <c r="A92" t="s">
        <v>1406</v>
      </c>
      <c r="B92" t="s">
        <v>1407</v>
      </c>
      <c r="C92" t="s">
        <v>1408</v>
      </c>
      <c r="D92" t="s">
        <v>1409</v>
      </c>
      <c r="E92" t="s">
        <v>1202</v>
      </c>
      <c r="F92">
        <v>324</v>
      </c>
      <c r="G92" t="s">
        <v>1203</v>
      </c>
      <c r="I92" s="2" t="s">
        <v>1410</v>
      </c>
      <c r="J92" s="2">
        <v>144</v>
      </c>
      <c r="K92" s="3" t="s">
        <v>1411</v>
      </c>
    </row>
    <row r="93" spans="1:11" x14ac:dyDescent="0.3">
      <c r="A93" t="s">
        <v>1412</v>
      </c>
      <c r="B93" t="s">
        <v>1413</v>
      </c>
      <c r="C93" t="s">
        <v>1414</v>
      </c>
      <c r="D93" t="s">
        <v>1415</v>
      </c>
      <c r="E93" t="s">
        <v>866</v>
      </c>
      <c r="F93">
        <v>952</v>
      </c>
      <c r="G93" t="s">
        <v>867</v>
      </c>
      <c r="I93" s="2" t="s">
        <v>1416</v>
      </c>
      <c r="J93" s="2">
        <v>430</v>
      </c>
      <c r="K93" s="3" t="s">
        <v>1417</v>
      </c>
    </row>
    <row r="94" spans="1:11" x14ac:dyDescent="0.3">
      <c r="A94" t="s">
        <v>1418</v>
      </c>
      <c r="B94" t="s">
        <v>1419</v>
      </c>
      <c r="C94" t="s">
        <v>1420</v>
      </c>
      <c r="D94" t="s">
        <v>1421</v>
      </c>
      <c r="E94" t="s">
        <v>1219</v>
      </c>
      <c r="F94">
        <v>328</v>
      </c>
      <c r="G94" t="s">
        <v>1220</v>
      </c>
      <c r="I94" s="2" t="s">
        <v>1422</v>
      </c>
      <c r="J94" s="2">
        <v>426</v>
      </c>
      <c r="K94" s="3" t="s">
        <v>1423</v>
      </c>
    </row>
    <row r="95" spans="1:11" x14ac:dyDescent="0.3">
      <c r="A95" t="s">
        <v>1424</v>
      </c>
      <c r="B95" t="s">
        <v>1425</v>
      </c>
      <c r="C95" t="s">
        <v>1426</v>
      </c>
      <c r="D95" t="s">
        <v>1427</v>
      </c>
      <c r="E95" t="s">
        <v>1251</v>
      </c>
      <c r="F95">
        <v>332</v>
      </c>
      <c r="G95" t="s">
        <v>1252</v>
      </c>
      <c r="I95" s="2" t="s">
        <v>1428</v>
      </c>
      <c r="J95" s="2">
        <v>434</v>
      </c>
      <c r="K95" s="3" t="s">
        <v>1429</v>
      </c>
    </row>
    <row r="96" spans="1:11" x14ac:dyDescent="0.3">
      <c r="A96" t="s">
        <v>1430</v>
      </c>
      <c r="B96" t="s">
        <v>1431</v>
      </c>
      <c r="C96" t="s">
        <v>1432</v>
      </c>
      <c r="D96" t="s">
        <v>1433</v>
      </c>
      <c r="I96" s="2" t="s">
        <v>1434</v>
      </c>
      <c r="J96" s="2">
        <v>504</v>
      </c>
      <c r="K96" s="3" t="s">
        <v>1435</v>
      </c>
    </row>
    <row r="97" spans="1:11" x14ac:dyDescent="0.3">
      <c r="A97" t="s">
        <v>1436</v>
      </c>
      <c r="B97" t="s">
        <v>1437</v>
      </c>
      <c r="C97" t="s">
        <v>1438</v>
      </c>
      <c r="D97" t="s">
        <v>1439</v>
      </c>
      <c r="E97" t="s">
        <v>1236</v>
      </c>
      <c r="F97">
        <v>340</v>
      </c>
      <c r="G97" t="s">
        <v>1237</v>
      </c>
      <c r="I97" s="2" t="s">
        <v>1440</v>
      </c>
      <c r="J97" s="2">
        <v>498</v>
      </c>
      <c r="K97" s="3" t="s">
        <v>1441</v>
      </c>
    </row>
    <row r="98" spans="1:11" x14ac:dyDescent="0.3">
      <c r="A98" t="s">
        <v>1442</v>
      </c>
      <c r="B98" t="s">
        <v>1443</v>
      </c>
      <c r="C98" t="s">
        <v>1444</v>
      </c>
      <c r="D98" t="s">
        <v>1445</v>
      </c>
      <c r="E98" t="s">
        <v>1227</v>
      </c>
      <c r="F98">
        <v>344</v>
      </c>
      <c r="G98" t="s">
        <v>1228</v>
      </c>
      <c r="I98" s="2" t="s">
        <v>1446</v>
      </c>
      <c r="J98" s="2">
        <v>969</v>
      </c>
      <c r="K98" s="3" t="s">
        <v>1447</v>
      </c>
    </row>
    <row r="99" spans="1:11" x14ac:dyDescent="0.3">
      <c r="A99" t="s">
        <v>1448</v>
      </c>
      <c r="B99" t="s">
        <v>1449</v>
      </c>
      <c r="C99" t="s">
        <v>1450</v>
      </c>
      <c r="D99" t="s">
        <v>1451</v>
      </c>
      <c r="E99" t="s">
        <v>1262</v>
      </c>
      <c r="F99">
        <v>348</v>
      </c>
      <c r="G99" t="s">
        <v>1263</v>
      </c>
      <c r="I99" s="2" t="s">
        <v>1452</v>
      </c>
      <c r="J99" s="2">
        <v>807</v>
      </c>
      <c r="K99" s="3" t="s">
        <v>1453</v>
      </c>
    </row>
    <row r="100" spans="1:11" x14ac:dyDescent="0.3">
      <c r="A100" t="s">
        <v>1454</v>
      </c>
      <c r="B100" t="s">
        <v>1455</v>
      </c>
      <c r="C100" t="s">
        <v>1456</v>
      </c>
      <c r="D100" t="s">
        <v>1457</v>
      </c>
      <c r="E100" t="s">
        <v>1320</v>
      </c>
      <c r="F100">
        <v>352</v>
      </c>
      <c r="G100" t="s">
        <v>1321</v>
      </c>
      <c r="I100" s="2" t="s">
        <v>1458</v>
      </c>
      <c r="J100" s="2">
        <v>104</v>
      </c>
      <c r="K100" s="3" t="s">
        <v>1459</v>
      </c>
    </row>
    <row r="101" spans="1:11" x14ac:dyDescent="0.3">
      <c r="A101" t="s">
        <v>1460</v>
      </c>
      <c r="B101" t="s">
        <v>1461</v>
      </c>
      <c r="C101" t="s">
        <v>1462</v>
      </c>
      <c r="D101" t="s">
        <v>1463</v>
      </c>
      <c r="E101" t="s">
        <v>1298</v>
      </c>
      <c r="F101">
        <v>356</v>
      </c>
      <c r="G101" t="s">
        <v>1299</v>
      </c>
      <c r="I101" s="2" t="s">
        <v>1464</v>
      </c>
      <c r="J101" s="2">
        <v>496</v>
      </c>
      <c r="K101" s="3" t="s">
        <v>1465</v>
      </c>
    </row>
    <row r="102" spans="1:11" x14ac:dyDescent="0.3">
      <c r="A102" t="s">
        <v>1466</v>
      </c>
      <c r="B102" t="s">
        <v>1467</v>
      </c>
      <c r="C102" t="s">
        <v>1468</v>
      </c>
      <c r="D102" t="s">
        <v>1469</v>
      </c>
      <c r="E102" t="s">
        <v>1271</v>
      </c>
      <c r="F102">
        <v>360</v>
      </c>
      <c r="G102" t="s">
        <v>1272</v>
      </c>
      <c r="I102" s="2" t="s">
        <v>1470</v>
      </c>
      <c r="J102" s="2">
        <v>446</v>
      </c>
      <c r="K102" s="3" t="s">
        <v>1471</v>
      </c>
    </row>
    <row r="103" spans="1:11" x14ac:dyDescent="0.3">
      <c r="A103" t="s">
        <v>1472</v>
      </c>
      <c r="B103" t="s">
        <v>1473</v>
      </c>
      <c r="C103" t="s">
        <v>1474</v>
      </c>
      <c r="D103" t="s">
        <v>1475</v>
      </c>
      <c r="E103" t="s">
        <v>1314</v>
      </c>
      <c r="F103">
        <v>364</v>
      </c>
      <c r="G103" t="s">
        <v>1315</v>
      </c>
      <c r="I103" s="2" t="s">
        <v>1476</v>
      </c>
      <c r="J103" s="2">
        <v>478</v>
      </c>
      <c r="K103" s="3" t="s">
        <v>1477</v>
      </c>
    </row>
    <row r="104" spans="1:11" x14ac:dyDescent="0.3">
      <c r="A104" t="s">
        <v>1478</v>
      </c>
      <c r="B104" t="s">
        <v>1479</v>
      </c>
      <c r="C104" t="s">
        <v>1480</v>
      </c>
      <c r="D104" t="s">
        <v>1481</v>
      </c>
      <c r="E104" t="s">
        <v>1306</v>
      </c>
      <c r="F104">
        <v>368</v>
      </c>
      <c r="G104" t="s">
        <v>1307</v>
      </c>
      <c r="I104" s="2" t="s">
        <v>1482</v>
      </c>
      <c r="J104" s="2">
        <v>480</v>
      </c>
      <c r="K104" s="3" t="s">
        <v>1483</v>
      </c>
    </row>
    <row r="105" spans="1:11" x14ac:dyDescent="0.3">
      <c r="A105" t="s">
        <v>1484</v>
      </c>
      <c r="B105" t="s">
        <v>1485</v>
      </c>
      <c r="C105" t="s">
        <v>1486</v>
      </c>
      <c r="D105" t="s">
        <v>1487</v>
      </c>
      <c r="E105" t="s">
        <v>606</v>
      </c>
      <c r="F105">
        <v>978</v>
      </c>
      <c r="G105" t="s">
        <v>607</v>
      </c>
      <c r="I105" s="2" t="s">
        <v>1488</v>
      </c>
      <c r="J105" s="2">
        <v>462</v>
      </c>
      <c r="K105" s="3" t="s">
        <v>1489</v>
      </c>
    </row>
    <row r="106" spans="1:11" x14ac:dyDescent="0.3">
      <c r="A106" t="s">
        <v>1490</v>
      </c>
      <c r="B106" t="s">
        <v>1491</v>
      </c>
      <c r="C106" t="s">
        <v>1492</v>
      </c>
      <c r="D106" t="s">
        <v>1493</v>
      </c>
      <c r="E106" t="s">
        <v>1289</v>
      </c>
      <c r="F106">
        <v>0</v>
      </c>
      <c r="G106" t="s">
        <v>1290</v>
      </c>
      <c r="I106" s="2" t="s">
        <v>1494</v>
      </c>
      <c r="J106" s="2">
        <v>454</v>
      </c>
      <c r="K106" s="3" t="s">
        <v>1495</v>
      </c>
    </row>
    <row r="107" spans="1:11" x14ac:dyDescent="0.3">
      <c r="A107" t="s">
        <v>1496</v>
      </c>
      <c r="B107" t="s">
        <v>1497</v>
      </c>
      <c r="C107" t="s">
        <v>1498</v>
      </c>
      <c r="D107" t="s">
        <v>1499</v>
      </c>
      <c r="E107" t="s">
        <v>1280</v>
      </c>
      <c r="F107">
        <v>376</v>
      </c>
      <c r="G107" t="s">
        <v>1281</v>
      </c>
      <c r="I107" s="2" t="s">
        <v>1500</v>
      </c>
      <c r="J107" s="2">
        <v>484</v>
      </c>
      <c r="K107" s="3" t="s">
        <v>1501</v>
      </c>
    </row>
    <row r="108" spans="1:11" x14ac:dyDescent="0.3">
      <c r="A108" t="s">
        <v>1502</v>
      </c>
      <c r="B108" t="s">
        <v>1503</v>
      </c>
      <c r="C108" t="s">
        <v>1504</v>
      </c>
      <c r="D108" t="s">
        <v>1505</v>
      </c>
      <c r="E108" t="s">
        <v>606</v>
      </c>
      <c r="F108">
        <v>978</v>
      </c>
      <c r="G108" t="s">
        <v>607</v>
      </c>
      <c r="I108" s="2" t="s">
        <v>1506</v>
      </c>
      <c r="J108" s="2">
        <v>458</v>
      </c>
      <c r="K108" s="3" t="s">
        <v>1507</v>
      </c>
    </row>
    <row r="109" spans="1:11" x14ac:dyDescent="0.3">
      <c r="A109" t="s">
        <v>1508</v>
      </c>
      <c r="B109" t="s">
        <v>1509</v>
      </c>
      <c r="C109" t="s">
        <v>1510</v>
      </c>
      <c r="D109" t="s">
        <v>1511</v>
      </c>
      <c r="E109" t="s">
        <v>1332</v>
      </c>
      <c r="F109">
        <v>388</v>
      </c>
      <c r="G109" t="s">
        <v>1333</v>
      </c>
      <c r="I109" s="2" t="s">
        <v>1512</v>
      </c>
      <c r="J109" s="2">
        <v>943</v>
      </c>
      <c r="K109" s="3" t="s">
        <v>1513</v>
      </c>
    </row>
    <row r="110" spans="1:11" x14ac:dyDescent="0.3">
      <c r="A110" t="s">
        <v>1514</v>
      </c>
      <c r="B110" t="s">
        <v>1515</v>
      </c>
      <c r="C110" t="s">
        <v>1516</v>
      </c>
      <c r="D110" t="s">
        <v>1517</v>
      </c>
      <c r="E110" t="s">
        <v>1344</v>
      </c>
      <c r="F110">
        <v>392</v>
      </c>
      <c r="G110" t="s">
        <v>1345</v>
      </c>
      <c r="I110" s="2" t="s">
        <v>1518</v>
      </c>
      <c r="J110" s="2">
        <v>516</v>
      </c>
      <c r="K110" s="3" t="s">
        <v>1519</v>
      </c>
    </row>
    <row r="111" spans="1:11" x14ac:dyDescent="0.3">
      <c r="A111" t="s">
        <v>1520</v>
      </c>
      <c r="B111" t="s">
        <v>1521</v>
      </c>
      <c r="C111" t="s">
        <v>1522</v>
      </c>
      <c r="D111" t="s">
        <v>1523</v>
      </c>
      <c r="E111" t="s">
        <v>1326</v>
      </c>
      <c r="F111">
        <v>0</v>
      </c>
      <c r="G111" t="s">
        <v>1327</v>
      </c>
      <c r="I111" s="2" t="s">
        <v>1524</v>
      </c>
      <c r="J111" s="2">
        <v>566</v>
      </c>
      <c r="K111" s="3" t="s">
        <v>1525</v>
      </c>
    </row>
    <row r="112" spans="1:11" x14ac:dyDescent="0.3">
      <c r="A112" t="s">
        <v>1526</v>
      </c>
      <c r="B112" t="s">
        <v>1527</v>
      </c>
      <c r="C112" t="s">
        <v>1528</v>
      </c>
      <c r="D112" t="s">
        <v>1529</v>
      </c>
      <c r="E112" t="s">
        <v>1338</v>
      </c>
      <c r="F112">
        <v>400</v>
      </c>
      <c r="G112" t="s">
        <v>1339</v>
      </c>
      <c r="I112" s="2" t="s">
        <v>1530</v>
      </c>
      <c r="J112" s="2">
        <v>558</v>
      </c>
      <c r="K112" s="3" t="s">
        <v>1531</v>
      </c>
    </row>
    <row r="113" spans="1:11" x14ac:dyDescent="0.3">
      <c r="A113" t="s">
        <v>1532</v>
      </c>
      <c r="B113" t="s">
        <v>1533</v>
      </c>
      <c r="C113" t="s">
        <v>1534</v>
      </c>
      <c r="D113" t="s">
        <v>1535</v>
      </c>
      <c r="E113" t="s">
        <v>1392</v>
      </c>
      <c r="F113">
        <v>398</v>
      </c>
      <c r="G113" t="s">
        <v>1393</v>
      </c>
      <c r="I113" s="2" t="s">
        <v>1536</v>
      </c>
      <c r="J113" s="2">
        <v>578</v>
      </c>
      <c r="K113" s="3" t="s">
        <v>1537</v>
      </c>
    </row>
    <row r="114" spans="1:11" x14ac:dyDescent="0.3">
      <c r="A114" t="s">
        <v>1538</v>
      </c>
      <c r="B114" t="s">
        <v>1539</v>
      </c>
      <c r="C114" t="s">
        <v>1540</v>
      </c>
      <c r="D114" t="s">
        <v>1541</v>
      </c>
      <c r="E114" t="s">
        <v>1350</v>
      </c>
      <c r="F114">
        <v>404</v>
      </c>
      <c r="G114" t="s">
        <v>1351</v>
      </c>
      <c r="I114" s="2" t="s">
        <v>1542</v>
      </c>
      <c r="J114" s="2">
        <v>524</v>
      </c>
      <c r="K114" s="3" t="s">
        <v>1543</v>
      </c>
    </row>
    <row r="115" spans="1:11" x14ac:dyDescent="0.3">
      <c r="A115" t="s">
        <v>1544</v>
      </c>
      <c r="B115" t="s">
        <v>1545</v>
      </c>
      <c r="C115" t="s">
        <v>1546</v>
      </c>
      <c r="D115" t="s">
        <v>1547</v>
      </c>
      <c r="I115" s="2" t="s">
        <v>1548</v>
      </c>
      <c r="J115" s="2">
        <v>554</v>
      </c>
      <c r="K115" s="3" t="s">
        <v>1549</v>
      </c>
    </row>
    <row r="116" spans="1:11" x14ac:dyDescent="0.3">
      <c r="A116" t="s">
        <v>1550</v>
      </c>
      <c r="B116" t="s">
        <v>1551</v>
      </c>
      <c r="C116" t="s">
        <v>1552</v>
      </c>
      <c r="D116" t="s">
        <v>1553</v>
      </c>
      <c r="E116" t="s">
        <v>1370</v>
      </c>
      <c r="F116">
        <v>408</v>
      </c>
      <c r="G116" t="s">
        <v>1371</v>
      </c>
      <c r="I116" s="2" t="s">
        <v>1554</v>
      </c>
      <c r="J116" s="2">
        <v>512</v>
      </c>
      <c r="K116" s="3" t="s">
        <v>1555</v>
      </c>
    </row>
    <row r="117" spans="1:11" x14ac:dyDescent="0.3">
      <c r="A117" t="s">
        <v>1556</v>
      </c>
      <c r="B117" t="s">
        <v>1557</v>
      </c>
      <c r="C117" t="s">
        <v>1558</v>
      </c>
      <c r="D117" t="s">
        <v>1559</v>
      </c>
      <c r="E117" t="s">
        <v>1376</v>
      </c>
      <c r="F117">
        <v>410</v>
      </c>
      <c r="G117" t="s">
        <v>1377</v>
      </c>
      <c r="I117" s="2" t="s">
        <v>1560</v>
      </c>
      <c r="J117" s="2">
        <v>590</v>
      </c>
      <c r="K117" s="3" t="s">
        <v>1561</v>
      </c>
    </row>
    <row r="118" spans="1:11" x14ac:dyDescent="0.3">
      <c r="A118" t="s">
        <v>1562</v>
      </c>
      <c r="B118" t="s">
        <v>1563</v>
      </c>
      <c r="C118" t="s">
        <v>1564</v>
      </c>
      <c r="D118" t="s">
        <v>1565</v>
      </c>
      <c r="E118" t="s">
        <v>606</v>
      </c>
      <c r="F118">
        <v>978</v>
      </c>
      <c r="G118" t="s">
        <v>607</v>
      </c>
      <c r="I118" s="2" t="s">
        <v>1566</v>
      </c>
      <c r="J118" s="2">
        <v>604</v>
      </c>
      <c r="K118" s="3" t="s">
        <v>1567</v>
      </c>
    </row>
    <row r="119" spans="1:11" x14ac:dyDescent="0.3">
      <c r="A119" t="s">
        <v>1568</v>
      </c>
      <c r="B119" t="s">
        <v>1569</v>
      </c>
      <c r="C119" t="s">
        <v>1570</v>
      </c>
      <c r="D119" t="s">
        <v>1571</v>
      </c>
      <c r="E119" t="s">
        <v>1382</v>
      </c>
      <c r="F119">
        <v>414</v>
      </c>
      <c r="G119" t="s">
        <v>1383</v>
      </c>
      <c r="I119" s="2" t="s">
        <v>1572</v>
      </c>
      <c r="J119" s="2">
        <v>598</v>
      </c>
      <c r="K119" s="3" t="s">
        <v>1573</v>
      </c>
    </row>
    <row r="120" spans="1:11" x14ac:dyDescent="0.3">
      <c r="A120" t="s">
        <v>1574</v>
      </c>
      <c r="B120" t="s">
        <v>1575</v>
      </c>
      <c r="C120" t="s">
        <v>1576</v>
      </c>
      <c r="D120" t="s">
        <v>1577</v>
      </c>
      <c r="E120" t="s">
        <v>1356</v>
      </c>
      <c r="F120">
        <v>417</v>
      </c>
      <c r="G120" t="s">
        <v>1357</v>
      </c>
      <c r="I120" s="2" t="s">
        <v>1578</v>
      </c>
      <c r="J120" s="2">
        <v>608</v>
      </c>
      <c r="K120" s="3" t="s">
        <v>1579</v>
      </c>
    </row>
    <row r="121" spans="1:11" x14ac:dyDescent="0.3">
      <c r="A121" t="s">
        <v>1580</v>
      </c>
      <c r="B121" t="s">
        <v>1581</v>
      </c>
      <c r="C121" t="s">
        <v>1582</v>
      </c>
      <c r="D121" t="s">
        <v>1583</v>
      </c>
      <c r="E121" t="s">
        <v>1398</v>
      </c>
      <c r="F121">
        <v>418</v>
      </c>
      <c r="G121" t="s">
        <v>1399</v>
      </c>
      <c r="I121" s="2" t="s">
        <v>1584</v>
      </c>
      <c r="J121" s="2">
        <v>586</v>
      </c>
      <c r="K121" s="3" t="s">
        <v>1585</v>
      </c>
    </row>
    <row r="122" spans="1:11" x14ac:dyDescent="0.3">
      <c r="A122" t="s">
        <v>1586</v>
      </c>
      <c r="B122" t="s">
        <v>1587</v>
      </c>
      <c r="C122" t="s">
        <v>1588</v>
      </c>
      <c r="D122" t="s">
        <v>1589</v>
      </c>
      <c r="E122" t="s">
        <v>606</v>
      </c>
      <c r="F122">
        <v>978</v>
      </c>
      <c r="G122" t="s">
        <v>607</v>
      </c>
      <c r="I122" s="2" t="s">
        <v>1590</v>
      </c>
      <c r="J122" s="2">
        <v>985</v>
      </c>
      <c r="K122" s="3" t="s">
        <v>1591</v>
      </c>
    </row>
    <row r="123" spans="1:11" x14ac:dyDescent="0.3">
      <c r="A123" t="s">
        <v>1592</v>
      </c>
      <c r="B123" t="s">
        <v>1593</v>
      </c>
      <c r="C123" t="s">
        <v>1594</v>
      </c>
      <c r="D123" t="s">
        <v>1595</v>
      </c>
      <c r="E123" t="s">
        <v>1404</v>
      </c>
      <c r="F123">
        <v>422</v>
      </c>
      <c r="G123" t="s">
        <v>1405</v>
      </c>
      <c r="I123" s="2" t="s">
        <v>1596</v>
      </c>
      <c r="J123" s="2">
        <v>600</v>
      </c>
      <c r="K123" s="3" t="s">
        <v>1597</v>
      </c>
    </row>
    <row r="124" spans="1:11" x14ac:dyDescent="0.3">
      <c r="A124" t="s">
        <v>1598</v>
      </c>
      <c r="B124" t="s">
        <v>1599</v>
      </c>
      <c r="C124" t="s">
        <v>1600</v>
      </c>
      <c r="D124" t="s">
        <v>1601</v>
      </c>
      <c r="E124" t="s">
        <v>1422</v>
      </c>
      <c r="F124">
        <v>426</v>
      </c>
      <c r="G124" t="s">
        <v>1423</v>
      </c>
      <c r="I124" s="2" t="s">
        <v>1602</v>
      </c>
      <c r="J124" s="2">
        <v>634</v>
      </c>
      <c r="K124" s="3" t="s">
        <v>1603</v>
      </c>
    </row>
    <row r="125" spans="1:11" x14ac:dyDescent="0.3">
      <c r="A125" t="s">
        <v>1604</v>
      </c>
      <c r="B125" t="s">
        <v>1605</v>
      </c>
      <c r="C125" t="s">
        <v>1606</v>
      </c>
      <c r="D125" t="s">
        <v>1607</v>
      </c>
      <c r="E125" t="s">
        <v>1416</v>
      </c>
      <c r="F125">
        <v>430</v>
      </c>
      <c r="G125" t="s">
        <v>1417</v>
      </c>
      <c r="I125" s="2" t="s">
        <v>1608</v>
      </c>
      <c r="J125" s="2">
        <v>946</v>
      </c>
      <c r="K125" s="3" t="s">
        <v>1609</v>
      </c>
    </row>
    <row r="126" spans="1:11" x14ac:dyDescent="0.3">
      <c r="A126" t="s">
        <v>1610</v>
      </c>
      <c r="B126" t="s">
        <v>1611</v>
      </c>
      <c r="C126" t="s">
        <v>1612</v>
      </c>
      <c r="D126" t="s">
        <v>1613</v>
      </c>
      <c r="E126" t="s">
        <v>1428</v>
      </c>
      <c r="F126">
        <v>434</v>
      </c>
      <c r="G126" t="s">
        <v>1429</v>
      </c>
      <c r="I126" s="2" t="s">
        <v>1614</v>
      </c>
      <c r="J126" s="2">
        <v>941</v>
      </c>
      <c r="K126" s="3" t="s">
        <v>1615</v>
      </c>
    </row>
    <row r="127" spans="1:11" x14ac:dyDescent="0.3">
      <c r="A127" t="s">
        <v>1616</v>
      </c>
      <c r="B127" t="s">
        <v>1617</v>
      </c>
      <c r="C127" t="s">
        <v>1618</v>
      </c>
      <c r="D127" t="s">
        <v>1619</v>
      </c>
      <c r="E127" t="s">
        <v>980</v>
      </c>
      <c r="F127">
        <v>756</v>
      </c>
      <c r="G127" t="s">
        <v>981</v>
      </c>
      <c r="I127" s="2" t="s">
        <v>1620</v>
      </c>
      <c r="J127" s="2">
        <v>643</v>
      </c>
      <c r="K127" s="3" t="s">
        <v>1621</v>
      </c>
    </row>
    <row r="128" spans="1:11" x14ac:dyDescent="0.3">
      <c r="A128" t="s">
        <v>1622</v>
      </c>
      <c r="B128" t="s">
        <v>1623</v>
      </c>
      <c r="C128" t="s">
        <v>1624</v>
      </c>
      <c r="D128" t="s">
        <v>1625</v>
      </c>
      <c r="E128" t="s">
        <v>606</v>
      </c>
      <c r="F128">
        <v>978</v>
      </c>
      <c r="G128" t="s">
        <v>607</v>
      </c>
      <c r="I128" s="2" t="s">
        <v>1626</v>
      </c>
      <c r="J128" s="2">
        <v>646</v>
      </c>
      <c r="K128" s="3" t="s">
        <v>1627</v>
      </c>
    </row>
    <row r="129" spans="1:11" x14ac:dyDescent="0.3">
      <c r="A129" t="s">
        <v>1628</v>
      </c>
      <c r="B129" t="s">
        <v>1629</v>
      </c>
      <c r="C129" t="s">
        <v>1630</v>
      </c>
      <c r="D129" t="s">
        <v>1631</v>
      </c>
      <c r="E129" t="s">
        <v>606</v>
      </c>
      <c r="F129">
        <v>978</v>
      </c>
      <c r="G129" t="s">
        <v>607</v>
      </c>
      <c r="I129" s="2" t="s">
        <v>1632</v>
      </c>
      <c r="J129" s="2">
        <v>682</v>
      </c>
      <c r="K129" s="3" t="s">
        <v>1633</v>
      </c>
    </row>
    <row r="130" spans="1:11" x14ac:dyDescent="0.3">
      <c r="A130" t="s">
        <v>1634</v>
      </c>
      <c r="B130" t="s">
        <v>1635</v>
      </c>
      <c r="C130" t="s">
        <v>1636</v>
      </c>
      <c r="D130" t="s">
        <v>1637</v>
      </c>
      <c r="E130" t="s">
        <v>1470</v>
      </c>
      <c r="F130">
        <v>446</v>
      </c>
      <c r="G130" t="s">
        <v>1471</v>
      </c>
      <c r="I130" s="2" t="s">
        <v>1638</v>
      </c>
      <c r="J130" s="2">
        <v>90</v>
      </c>
      <c r="K130" s="3" t="s">
        <v>1639</v>
      </c>
    </row>
    <row r="131" spans="1:11" x14ac:dyDescent="0.3">
      <c r="A131" t="s">
        <v>1640</v>
      </c>
      <c r="B131" t="s">
        <v>1641</v>
      </c>
      <c r="C131" t="s">
        <v>1452</v>
      </c>
      <c r="D131" t="s">
        <v>1642</v>
      </c>
      <c r="E131" t="s">
        <v>1452</v>
      </c>
      <c r="F131">
        <v>807</v>
      </c>
      <c r="G131" t="s">
        <v>1453</v>
      </c>
      <c r="I131" s="2" t="s">
        <v>1643</v>
      </c>
      <c r="J131" s="2">
        <v>690</v>
      </c>
      <c r="K131" s="3" t="s">
        <v>1644</v>
      </c>
    </row>
    <row r="132" spans="1:11" x14ac:dyDescent="0.3">
      <c r="A132" t="s">
        <v>1645</v>
      </c>
      <c r="B132" t="s">
        <v>1646</v>
      </c>
      <c r="C132" t="s">
        <v>1647</v>
      </c>
      <c r="D132" t="s">
        <v>1648</v>
      </c>
      <c r="E132" t="s">
        <v>1446</v>
      </c>
      <c r="F132">
        <v>969</v>
      </c>
      <c r="G132" t="s">
        <v>1447</v>
      </c>
      <c r="I132" s="2" t="s">
        <v>1649</v>
      </c>
      <c r="J132" s="2">
        <v>938</v>
      </c>
      <c r="K132" s="3" t="s">
        <v>1650</v>
      </c>
    </row>
    <row r="133" spans="1:11" x14ac:dyDescent="0.3">
      <c r="A133" t="s">
        <v>1651</v>
      </c>
      <c r="B133" t="s">
        <v>1652</v>
      </c>
      <c r="C133" t="s">
        <v>1653</v>
      </c>
      <c r="D133" t="s">
        <v>1654</v>
      </c>
      <c r="E133" t="s">
        <v>1494</v>
      </c>
      <c r="F133">
        <v>454</v>
      </c>
      <c r="G133" t="s">
        <v>1495</v>
      </c>
      <c r="I133" s="2" t="s">
        <v>1655</v>
      </c>
      <c r="J133" s="2">
        <v>752</v>
      </c>
      <c r="K133" s="3" t="s">
        <v>1656</v>
      </c>
    </row>
    <row r="134" spans="1:11" x14ac:dyDescent="0.3">
      <c r="A134" t="s">
        <v>1657</v>
      </c>
      <c r="B134" t="s">
        <v>1658</v>
      </c>
      <c r="C134" t="s">
        <v>1659</v>
      </c>
      <c r="D134" t="s">
        <v>1660</v>
      </c>
      <c r="E134" t="s">
        <v>1506</v>
      </c>
      <c r="F134">
        <v>458</v>
      </c>
      <c r="G134" t="s">
        <v>1507</v>
      </c>
      <c r="I134" s="2" t="s">
        <v>1661</v>
      </c>
      <c r="J134" s="2">
        <v>702</v>
      </c>
      <c r="K134" s="3" t="s">
        <v>1662</v>
      </c>
    </row>
    <row r="135" spans="1:11" x14ac:dyDescent="0.3">
      <c r="A135" t="s">
        <v>1663</v>
      </c>
      <c r="B135" t="s">
        <v>1664</v>
      </c>
      <c r="C135" t="s">
        <v>1665</v>
      </c>
      <c r="D135" t="s">
        <v>1666</v>
      </c>
      <c r="E135" t="s">
        <v>1488</v>
      </c>
      <c r="F135">
        <v>462</v>
      </c>
      <c r="G135" t="s">
        <v>1489</v>
      </c>
      <c r="I135" s="2" t="s">
        <v>1667</v>
      </c>
      <c r="J135" s="2">
        <v>654</v>
      </c>
      <c r="K135" s="3" t="s">
        <v>1668</v>
      </c>
    </row>
    <row r="136" spans="1:11" x14ac:dyDescent="0.3">
      <c r="A136" t="s">
        <v>1669</v>
      </c>
      <c r="B136" t="s">
        <v>1670</v>
      </c>
      <c r="C136" t="s">
        <v>1671</v>
      </c>
      <c r="D136" t="s">
        <v>1672</v>
      </c>
      <c r="E136" t="s">
        <v>866</v>
      </c>
      <c r="F136">
        <v>952</v>
      </c>
      <c r="G136" t="s">
        <v>867</v>
      </c>
      <c r="I136" s="2" t="s">
        <v>1673</v>
      </c>
      <c r="J136" s="2">
        <v>694</v>
      </c>
      <c r="K136" s="3" t="s">
        <v>1674</v>
      </c>
    </row>
    <row r="137" spans="1:11" x14ac:dyDescent="0.3">
      <c r="A137" t="s">
        <v>1675</v>
      </c>
      <c r="B137" t="s">
        <v>1676</v>
      </c>
      <c r="C137" t="s">
        <v>1677</v>
      </c>
      <c r="D137" t="s">
        <v>1678</v>
      </c>
      <c r="E137" t="s">
        <v>606</v>
      </c>
      <c r="F137">
        <v>978</v>
      </c>
      <c r="G137" t="s">
        <v>607</v>
      </c>
      <c r="I137" s="2" t="s">
        <v>1679</v>
      </c>
      <c r="J137" s="2">
        <v>706</v>
      </c>
      <c r="K137" s="3" t="s">
        <v>1680</v>
      </c>
    </row>
    <row r="138" spans="1:11" x14ac:dyDescent="0.3">
      <c r="A138" t="s">
        <v>1681</v>
      </c>
      <c r="B138" t="s">
        <v>1682</v>
      </c>
      <c r="C138" t="s">
        <v>1683</v>
      </c>
      <c r="D138" t="s">
        <v>1684</v>
      </c>
      <c r="E138" t="s">
        <v>185</v>
      </c>
      <c r="F138">
        <v>840</v>
      </c>
      <c r="G138" t="s">
        <v>577</v>
      </c>
      <c r="I138" s="2" t="s">
        <v>1685</v>
      </c>
      <c r="J138" s="2">
        <v>968</v>
      </c>
      <c r="K138" s="3" t="s">
        <v>1686</v>
      </c>
    </row>
    <row r="139" spans="1:11" x14ac:dyDescent="0.3">
      <c r="A139" t="s">
        <v>1687</v>
      </c>
      <c r="B139" t="s">
        <v>1688</v>
      </c>
      <c r="C139" t="s">
        <v>1689</v>
      </c>
      <c r="D139" t="s">
        <v>1690</v>
      </c>
      <c r="E139" t="s">
        <v>606</v>
      </c>
      <c r="F139">
        <v>978</v>
      </c>
      <c r="G139" t="s">
        <v>607</v>
      </c>
      <c r="I139" s="2" t="s">
        <v>1691</v>
      </c>
      <c r="J139" s="2">
        <v>728</v>
      </c>
      <c r="K139" s="3" t="s">
        <v>1692</v>
      </c>
    </row>
    <row r="140" spans="1:11" x14ac:dyDescent="0.3">
      <c r="A140" t="s">
        <v>1693</v>
      </c>
      <c r="B140" t="s">
        <v>1694</v>
      </c>
      <c r="C140" t="s">
        <v>1695</v>
      </c>
      <c r="D140" t="s">
        <v>1696</v>
      </c>
      <c r="E140" t="s">
        <v>1476</v>
      </c>
      <c r="F140">
        <v>478</v>
      </c>
      <c r="G140" t="s">
        <v>1477</v>
      </c>
      <c r="I140" s="2" t="s">
        <v>1697</v>
      </c>
      <c r="J140" s="2">
        <v>678</v>
      </c>
      <c r="K140" s="3" t="s">
        <v>1698</v>
      </c>
    </row>
    <row r="141" spans="1:11" x14ac:dyDescent="0.3">
      <c r="A141" t="s">
        <v>1699</v>
      </c>
      <c r="B141" t="s">
        <v>1700</v>
      </c>
      <c r="C141" t="s">
        <v>1701</v>
      </c>
      <c r="D141" t="s">
        <v>1702</v>
      </c>
      <c r="E141" t="s">
        <v>1482</v>
      </c>
      <c r="F141">
        <v>480</v>
      </c>
      <c r="G141" t="s">
        <v>1483</v>
      </c>
      <c r="I141" s="2" t="s">
        <v>1703</v>
      </c>
      <c r="J141" s="2">
        <v>760</v>
      </c>
      <c r="K141" s="3" t="s">
        <v>1704</v>
      </c>
    </row>
    <row r="142" spans="1:11" x14ac:dyDescent="0.3">
      <c r="A142" t="s">
        <v>1705</v>
      </c>
      <c r="B142" t="s">
        <v>1706</v>
      </c>
      <c r="C142" t="s">
        <v>1707</v>
      </c>
      <c r="D142" t="s">
        <v>1708</v>
      </c>
      <c r="E142" t="s">
        <v>606</v>
      </c>
      <c r="F142">
        <v>978</v>
      </c>
      <c r="G142" t="s">
        <v>607</v>
      </c>
      <c r="I142" s="2" t="s">
        <v>1260</v>
      </c>
      <c r="J142" s="2">
        <v>748</v>
      </c>
      <c r="K142" s="3" t="s">
        <v>1261</v>
      </c>
    </row>
    <row r="143" spans="1:11" x14ac:dyDescent="0.3">
      <c r="A143" t="s">
        <v>1709</v>
      </c>
      <c r="B143" t="s">
        <v>1710</v>
      </c>
      <c r="C143" t="s">
        <v>1711</v>
      </c>
      <c r="D143" t="s">
        <v>1712</v>
      </c>
      <c r="E143" t="s">
        <v>1500</v>
      </c>
      <c r="F143">
        <v>484</v>
      </c>
      <c r="G143" t="s">
        <v>1501</v>
      </c>
      <c r="I143" s="2" t="s">
        <v>1713</v>
      </c>
      <c r="J143" s="2">
        <v>764</v>
      </c>
      <c r="K143" s="3" t="s">
        <v>1714</v>
      </c>
    </row>
    <row r="144" spans="1:11" x14ac:dyDescent="0.3">
      <c r="A144" t="s">
        <v>1715</v>
      </c>
      <c r="B144" t="s">
        <v>1716</v>
      </c>
      <c r="C144" t="s">
        <v>1717</v>
      </c>
      <c r="D144" t="s">
        <v>1718</v>
      </c>
      <c r="E144" t="s">
        <v>185</v>
      </c>
      <c r="F144">
        <v>840</v>
      </c>
      <c r="G144" t="s">
        <v>577</v>
      </c>
      <c r="I144" s="2" t="s">
        <v>1719</v>
      </c>
      <c r="J144" s="2">
        <v>972</v>
      </c>
      <c r="K144" s="3" t="s">
        <v>1720</v>
      </c>
    </row>
    <row r="145" spans="1:11" x14ac:dyDescent="0.3">
      <c r="A145" t="s">
        <v>1721</v>
      </c>
      <c r="B145" t="s">
        <v>1722</v>
      </c>
      <c r="C145" t="s">
        <v>1723</v>
      </c>
      <c r="D145" t="s">
        <v>1724</v>
      </c>
      <c r="E145" t="s">
        <v>1440</v>
      </c>
      <c r="F145">
        <v>498</v>
      </c>
      <c r="G145" t="s">
        <v>1441</v>
      </c>
      <c r="I145" s="2" t="s">
        <v>1725</v>
      </c>
      <c r="J145" s="2">
        <v>934</v>
      </c>
      <c r="K145" s="3" t="s">
        <v>1726</v>
      </c>
    </row>
    <row r="146" spans="1:11" x14ac:dyDescent="0.3">
      <c r="A146" t="s">
        <v>1727</v>
      </c>
      <c r="B146" t="s">
        <v>1728</v>
      </c>
      <c r="C146" t="s">
        <v>1729</v>
      </c>
      <c r="D146" t="s">
        <v>1730</v>
      </c>
      <c r="E146" t="s">
        <v>606</v>
      </c>
      <c r="F146">
        <v>978</v>
      </c>
      <c r="G146" t="s">
        <v>607</v>
      </c>
      <c r="I146" s="2" t="s">
        <v>1731</v>
      </c>
      <c r="J146" s="2">
        <v>788</v>
      </c>
      <c r="K146" s="3" t="s">
        <v>1732</v>
      </c>
    </row>
    <row r="147" spans="1:11" x14ac:dyDescent="0.3">
      <c r="A147" t="s">
        <v>1733</v>
      </c>
      <c r="B147" t="s">
        <v>1734</v>
      </c>
      <c r="C147" t="s">
        <v>1735</v>
      </c>
      <c r="D147" t="s">
        <v>1736</v>
      </c>
      <c r="E147" t="s">
        <v>1464</v>
      </c>
      <c r="F147">
        <v>496</v>
      </c>
      <c r="G147" t="s">
        <v>1465</v>
      </c>
      <c r="I147" s="2" t="s">
        <v>1737</v>
      </c>
      <c r="J147" s="2">
        <v>776</v>
      </c>
      <c r="K147" s="3" t="s">
        <v>1738</v>
      </c>
    </row>
    <row r="148" spans="1:11" x14ac:dyDescent="0.3">
      <c r="A148" t="s">
        <v>1739</v>
      </c>
      <c r="B148" t="s">
        <v>1740</v>
      </c>
      <c r="C148" t="s">
        <v>1741</v>
      </c>
      <c r="D148" t="s">
        <v>1742</v>
      </c>
      <c r="E148" t="s">
        <v>606</v>
      </c>
      <c r="F148">
        <v>978</v>
      </c>
      <c r="G148" t="s">
        <v>607</v>
      </c>
      <c r="I148" s="2" t="s">
        <v>1743</v>
      </c>
      <c r="J148" s="2">
        <v>949</v>
      </c>
      <c r="K148" s="3" t="s">
        <v>1744</v>
      </c>
    </row>
    <row r="149" spans="1:11" x14ac:dyDescent="0.3">
      <c r="A149" t="s">
        <v>1745</v>
      </c>
      <c r="B149" t="s">
        <v>1746</v>
      </c>
      <c r="C149" t="s">
        <v>1747</v>
      </c>
      <c r="D149" t="s">
        <v>1748</v>
      </c>
      <c r="E149" t="s">
        <v>681</v>
      </c>
      <c r="F149">
        <v>951</v>
      </c>
      <c r="G149" t="s">
        <v>682</v>
      </c>
      <c r="I149" s="2" t="s">
        <v>92</v>
      </c>
      <c r="J149" s="2">
        <v>780</v>
      </c>
      <c r="K149" s="3" t="s">
        <v>1749</v>
      </c>
    </row>
    <row r="150" spans="1:11" x14ac:dyDescent="0.3">
      <c r="A150" t="s">
        <v>1750</v>
      </c>
      <c r="B150" t="s">
        <v>1751</v>
      </c>
      <c r="C150" t="s">
        <v>1752</v>
      </c>
      <c r="D150" t="s">
        <v>1753</v>
      </c>
      <c r="E150" t="s">
        <v>1434</v>
      </c>
      <c r="F150">
        <v>504</v>
      </c>
      <c r="G150" t="s">
        <v>1435</v>
      </c>
      <c r="I150" s="2" t="s">
        <v>1754</v>
      </c>
      <c r="J150" s="2">
        <v>0</v>
      </c>
      <c r="K150" s="3" t="s">
        <v>1755</v>
      </c>
    </row>
    <row r="151" spans="1:11" x14ac:dyDescent="0.3">
      <c r="A151" t="s">
        <v>1756</v>
      </c>
      <c r="B151" t="s">
        <v>1757</v>
      </c>
      <c r="C151" t="s">
        <v>1758</v>
      </c>
      <c r="D151" t="s">
        <v>1759</v>
      </c>
      <c r="E151" t="s">
        <v>1512</v>
      </c>
      <c r="F151">
        <v>943</v>
      </c>
      <c r="G151" t="s">
        <v>1513</v>
      </c>
      <c r="I151" s="2" t="s">
        <v>1760</v>
      </c>
      <c r="J151" s="2">
        <v>901</v>
      </c>
      <c r="K151" s="3" t="s">
        <v>1761</v>
      </c>
    </row>
    <row r="152" spans="1:11" x14ac:dyDescent="0.3">
      <c r="A152" t="s">
        <v>1762</v>
      </c>
      <c r="B152" t="s">
        <v>1763</v>
      </c>
      <c r="C152" t="s">
        <v>1764</v>
      </c>
      <c r="D152" t="s">
        <v>1765</v>
      </c>
      <c r="E152" t="s">
        <v>1458</v>
      </c>
      <c r="F152">
        <v>104</v>
      </c>
      <c r="G152" t="s">
        <v>1459</v>
      </c>
      <c r="I152" s="2" t="s">
        <v>1766</v>
      </c>
      <c r="J152" s="2">
        <v>834</v>
      </c>
      <c r="K152" s="3" t="s">
        <v>1767</v>
      </c>
    </row>
    <row r="153" spans="1:11" x14ac:dyDescent="0.3">
      <c r="A153" t="s">
        <v>1768</v>
      </c>
      <c r="B153" t="s">
        <v>1769</v>
      </c>
      <c r="C153" t="s">
        <v>1770</v>
      </c>
      <c r="D153" t="s">
        <v>1771</v>
      </c>
      <c r="E153" t="s">
        <v>1518</v>
      </c>
      <c r="F153">
        <v>516</v>
      </c>
      <c r="G153" t="s">
        <v>1519</v>
      </c>
      <c r="I153" s="2" t="s">
        <v>1772</v>
      </c>
      <c r="J153" s="2">
        <v>980</v>
      </c>
      <c r="K153" s="3" t="s">
        <v>1773</v>
      </c>
    </row>
    <row r="154" spans="1:11" x14ac:dyDescent="0.3">
      <c r="A154" t="s">
        <v>1774</v>
      </c>
      <c r="B154" t="s">
        <v>1775</v>
      </c>
      <c r="C154" t="s">
        <v>1776</v>
      </c>
      <c r="D154" t="s">
        <v>1777</v>
      </c>
      <c r="I154" s="2" t="s">
        <v>1778</v>
      </c>
      <c r="J154" s="2">
        <v>800</v>
      </c>
      <c r="K154" s="3" t="s">
        <v>1779</v>
      </c>
    </row>
    <row r="155" spans="1:11" x14ac:dyDescent="0.3">
      <c r="A155" t="s">
        <v>1780</v>
      </c>
      <c r="B155" t="s">
        <v>1781</v>
      </c>
      <c r="C155" t="s">
        <v>1782</v>
      </c>
      <c r="D155" t="s">
        <v>1783</v>
      </c>
      <c r="E155" t="s">
        <v>1542</v>
      </c>
      <c r="F155">
        <v>524</v>
      </c>
      <c r="G155" t="s">
        <v>1543</v>
      </c>
      <c r="I155" s="2" t="s">
        <v>185</v>
      </c>
      <c r="J155" s="2">
        <v>840</v>
      </c>
      <c r="K155" s="3" t="s">
        <v>577</v>
      </c>
    </row>
    <row r="156" spans="1:11" x14ac:dyDescent="0.3">
      <c r="A156" t="s">
        <v>1784</v>
      </c>
      <c r="B156" t="s">
        <v>1785</v>
      </c>
      <c r="C156" t="s">
        <v>1786</v>
      </c>
      <c r="D156" t="s">
        <v>1787</v>
      </c>
      <c r="E156" t="s">
        <v>606</v>
      </c>
      <c r="F156">
        <v>978</v>
      </c>
      <c r="G156" t="s">
        <v>607</v>
      </c>
      <c r="I156" s="2" t="s">
        <v>185</v>
      </c>
      <c r="J156" s="2"/>
      <c r="K156" s="3"/>
    </row>
    <row r="157" spans="1:11" x14ac:dyDescent="0.3">
      <c r="A157" t="s">
        <v>1788</v>
      </c>
      <c r="B157" t="s">
        <v>1789</v>
      </c>
      <c r="C157" t="s">
        <v>1790</v>
      </c>
      <c r="D157" t="s">
        <v>1791</v>
      </c>
      <c r="E157" t="s">
        <v>732</v>
      </c>
      <c r="F157">
        <v>532</v>
      </c>
      <c r="G157" t="s">
        <v>733</v>
      </c>
      <c r="I157" s="2" t="s">
        <v>1792</v>
      </c>
      <c r="J157" s="2">
        <v>858</v>
      </c>
      <c r="K157" s="3" t="s">
        <v>1793</v>
      </c>
    </row>
    <row r="158" spans="1:11" x14ac:dyDescent="0.3">
      <c r="A158" t="s">
        <v>1794</v>
      </c>
      <c r="B158" t="s">
        <v>1795</v>
      </c>
      <c r="C158" t="s">
        <v>1796</v>
      </c>
      <c r="D158" t="s">
        <v>1797</v>
      </c>
      <c r="I158" s="2" t="s">
        <v>1798</v>
      </c>
      <c r="J158" s="2">
        <v>860</v>
      </c>
      <c r="K158" s="3" t="s">
        <v>1799</v>
      </c>
    </row>
    <row r="159" spans="1:11" x14ac:dyDescent="0.3">
      <c r="A159" t="s">
        <v>1800</v>
      </c>
      <c r="B159" t="s">
        <v>1801</v>
      </c>
      <c r="C159" t="s">
        <v>1802</v>
      </c>
      <c r="D159" t="s">
        <v>1803</v>
      </c>
      <c r="E159" t="s">
        <v>1548</v>
      </c>
      <c r="F159">
        <v>554</v>
      </c>
      <c r="G159" t="s">
        <v>1549</v>
      </c>
      <c r="I159" s="2" t="s">
        <v>1804</v>
      </c>
      <c r="J159" s="2">
        <v>937</v>
      </c>
      <c r="K159" s="3" t="s">
        <v>1805</v>
      </c>
    </row>
    <row r="160" spans="1:11" x14ac:dyDescent="0.3">
      <c r="A160" t="s">
        <v>1806</v>
      </c>
      <c r="B160" t="s">
        <v>1807</v>
      </c>
      <c r="C160" t="s">
        <v>1808</v>
      </c>
      <c r="D160" t="s">
        <v>1809</v>
      </c>
      <c r="E160" t="s">
        <v>1530</v>
      </c>
      <c r="F160">
        <v>558</v>
      </c>
      <c r="G160" t="s">
        <v>1531</v>
      </c>
      <c r="I160" s="2" t="s">
        <v>1810</v>
      </c>
      <c r="J160" s="2">
        <v>704</v>
      </c>
      <c r="K160" s="3" t="s">
        <v>1811</v>
      </c>
    </row>
    <row r="161" spans="1:11" x14ac:dyDescent="0.3">
      <c r="A161" t="s">
        <v>1812</v>
      </c>
      <c r="B161" t="s">
        <v>1813</v>
      </c>
      <c r="C161" t="s">
        <v>1814</v>
      </c>
      <c r="D161" t="s">
        <v>1815</v>
      </c>
      <c r="E161" t="s">
        <v>866</v>
      </c>
      <c r="F161">
        <v>952</v>
      </c>
      <c r="G161" t="s">
        <v>867</v>
      </c>
      <c r="I161" s="2" t="s">
        <v>1816</v>
      </c>
      <c r="J161" s="2">
        <v>548</v>
      </c>
      <c r="K161" s="3" t="s">
        <v>1817</v>
      </c>
    </row>
    <row r="162" spans="1:11" x14ac:dyDescent="0.3">
      <c r="A162" t="s">
        <v>1818</v>
      </c>
      <c r="B162" t="s">
        <v>1819</v>
      </c>
      <c r="C162" t="s">
        <v>1820</v>
      </c>
      <c r="D162" t="s">
        <v>1821</v>
      </c>
      <c r="E162" t="s">
        <v>1524</v>
      </c>
      <c r="F162">
        <v>566</v>
      </c>
      <c r="G162" t="s">
        <v>1525</v>
      </c>
      <c r="I162" s="2" t="s">
        <v>1822</v>
      </c>
      <c r="J162" s="2">
        <v>882</v>
      </c>
      <c r="K162" s="3" t="s">
        <v>1823</v>
      </c>
    </row>
    <row r="163" spans="1:11" x14ac:dyDescent="0.3">
      <c r="A163" t="s">
        <v>1824</v>
      </c>
      <c r="B163" t="s">
        <v>1825</v>
      </c>
      <c r="C163" t="s">
        <v>1826</v>
      </c>
      <c r="D163" t="s">
        <v>1827</v>
      </c>
      <c r="I163" s="2" t="s">
        <v>1000</v>
      </c>
      <c r="J163" s="2">
        <v>950</v>
      </c>
      <c r="K163" s="3" t="s">
        <v>1001</v>
      </c>
    </row>
    <row r="164" spans="1:11" x14ac:dyDescent="0.3">
      <c r="A164" t="s">
        <v>1828</v>
      </c>
      <c r="B164" t="s">
        <v>1829</v>
      </c>
      <c r="C164" t="s">
        <v>1830</v>
      </c>
      <c r="D164" t="s">
        <v>1831</v>
      </c>
      <c r="I164" s="2" t="s">
        <v>681</v>
      </c>
      <c r="J164" s="2">
        <v>951</v>
      </c>
      <c r="K164" s="3" t="s">
        <v>682</v>
      </c>
    </row>
    <row r="165" spans="1:11" x14ac:dyDescent="0.3">
      <c r="A165" t="s">
        <v>1832</v>
      </c>
      <c r="B165" t="s">
        <v>1833</v>
      </c>
      <c r="C165" t="s">
        <v>1834</v>
      </c>
      <c r="D165" t="s">
        <v>1835</v>
      </c>
      <c r="E165" t="s">
        <v>185</v>
      </c>
      <c r="F165">
        <v>840</v>
      </c>
      <c r="G165" t="s">
        <v>577</v>
      </c>
      <c r="I165" s="2" t="s">
        <v>866</v>
      </c>
      <c r="J165" s="2">
        <v>952</v>
      </c>
      <c r="K165" s="3" t="s">
        <v>867</v>
      </c>
    </row>
    <row r="166" spans="1:11" x14ac:dyDescent="0.3">
      <c r="A166" t="s">
        <v>1836</v>
      </c>
      <c r="B166" t="s">
        <v>1837</v>
      </c>
      <c r="C166" t="s">
        <v>1838</v>
      </c>
      <c r="D166" t="s">
        <v>1839</v>
      </c>
      <c r="E166" t="s">
        <v>1536</v>
      </c>
      <c r="F166">
        <v>578</v>
      </c>
      <c r="G166" t="s">
        <v>1537</v>
      </c>
      <c r="I166" s="2" t="s">
        <v>1840</v>
      </c>
      <c r="J166" s="2">
        <v>886</v>
      </c>
      <c r="K166" s="3" t="s">
        <v>1841</v>
      </c>
    </row>
    <row r="167" spans="1:11" x14ac:dyDescent="0.3">
      <c r="A167" t="s">
        <v>1842</v>
      </c>
      <c r="B167" t="s">
        <v>1843</v>
      </c>
      <c r="C167" t="s">
        <v>1844</v>
      </c>
      <c r="D167" t="s">
        <v>1845</v>
      </c>
      <c r="E167" t="s">
        <v>1554</v>
      </c>
      <c r="F167">
        <v>512</v>
      </c>
      <c r="G167" t="s">
        <v>1555</v>
      </c>
      <c r="I167" s="2" t="s">
        <v>1846</v>
      </c>
      <c r="J167" s="2">
        <v>710</v>
      </c>
      <c r="K167" s="3" t="s">
        <v>1847</v>
      </c>
    </row>
    <row r="168" spans="1:11" x14ac:dyDescent="0.3">
      <c r="A168" t="s">
        <v>1848</v>
      </c>
      <c r="B168" t="s">
        <v>1849</v>
      </c>
      <c r="C168" t="s">
        <v>1850</v>
      </c>
      <c r="D168" t="s">
        <v>1851</v>
      </c>
      <c r="E168" t="s">
        <v>1584</v>
      </c>
      <c r="F168">
        <v>586</v>
      </c>
      <c r="G168" t="s">
        <v>1585</v>
      </c>
      <c r="I168" s="2" t="s">
        <v>1852</v>
      </c>
      <c r="J168" s="2">
        <v>967</v>
      </c>
      <c r="K168" s="3" t="s">
        <v>1853</v>
      </c>
    </row>
    <row r="169" spans="1:11" x14ac:dyDescent="0.3">
      <c r="A169" t="s">
        <v>1854</v>
      </c>
      <c r="B169" t="s">
        <v>1855</v>
      </c>
      <c r="C169" t="s">
        <v>1856</v>
      </c>
      <c r="D169" t="s">
        <v>1857</v>
      </c>
      <c r="E169" t="s">
        <v>185</v>
      </c>
      <c r="F169">
        <v>840</v>
      </c>
      <c r="G169" t="s">
        <v>577</v>
      </c>
    </row>
    <row r="170" spans="1:11" x14ac:dyDescent="0.3">
      <c r="A170" t="s">
        <v>1858</v>
      </c>
      <c r="B170" t="s">
        <v>1859</v>
      </c>
      <c r="C170" t="s">
        <v>1860</v>
      </c>
      <c r="D170" t="s">
        <v>1861</v>
      </c>
    </row>
    <row r="171" spans="1:11" x14ac:dyDescent="0.3">
      <c r="A171" t="s">
        <v>1862</v>
      </c>
      <c r="B171" t="s">
        <v>1863</v>
      </c>
      <c r="C171" t="s">
        <v>1864</v>
      </c>
      <c r="D171" t="s">
        <v>1865</v>
      </c>
      <c r="E171" t="s">
        <v>1560</v>
      </c>
      <c r="F171">
        <v>590</v>
      </c>
      <c r="G171" t="s">
        <v>1561</v>
      </c>
    </row>
    <row r="172" spans="1:11" x14ac:dyDescent="0.3">
      <c r="A172" t="s">
        <v>1866</v>
      </c>
      <c r="B172" t="s">
        <v>1867</v>
      </c>
      <c r="C172" t="s">
        <v>1868</v>
      </c>
      <c r="D172" t="s">
        <v>1869</v>
      </c>
      <c r="E172" t="s">
        <v>1572</v>
      </c>
      <c r="F172">
        <v>598</v>
      </c>
      <c r="G172" t="s">
        <v>1573</v>
      </c>
    </row>
    <row r="173" spans="1:11" x14ac:dyDescent="0.3">
      <c r="A173" t="s">
        <v>1870</v>
      </c>
      <c r="B173" t="s">
        <v>1871</v>
      </c>
      <c r="C173" t="s">
        <v>1872</v>
      </c>
      <c r="D173" t="s">
        <v>1873</v>
      </c>
      <c r="E173" t="s">
        <v>1596</v>
      </c>
      <c r="F173">
        <v>600</v>
      </c>
      <c r="G173" t="s">
        <v>1597</v>
      </c>
    </row>
    <row r="174" spans="1:11" x14ac:dyDescent="0.3">
      <c r="A174" t="s">
        <v>1874</v>
      </c>
      <c r="B174" t="s">
        <v>1875</v>
      </c>
      <c r="C174" t="s">
        <v>1876</v>
      </c>
      <c r="D174" t="s">
        <v>1877</v>
      </c>
      <c r="E174" t="s">
        <v>1566</v>
      </c>
      <c r="F174">
        <v>604</v>
      </c>
      <c r="G174" t="s">
        <v>1567</v>
      </c>
    </row>
    <row r="175" spans="1:11" x14ac:dyDescent="0.3">
      <c r="A175" t="s">
        <v>1878</v>
      </c>
      <c r="B175" t="s">
        <v>1879</v>
      </c>
      <c r="C175" t="s">
        <v>1880</v>
      </c>
      <c r="D175" t="s">
        <v>1881</v>
      </c>
      <c r="E175" t="s">
        <v>1578</v>
      </c>
      <c r="F175">
        <v>608</v>
      </c>
      <c r="G175" t="s">
        <v>1579</v>
      </c>
    </row>
    <row r="176" spans="1:11" x14ac:dyDescent="0.3">
      <c r="A176" t="s">
        <v>1882</v>
      </c>
      <c r="B176" t="s">
        <v>1883</v>
      </c>
      <c r="C176" t="s">
        <v>1884</v>
      </c>
      <c r="D176" t="s">
        <v>1885</v>
      </c>
    </row>
    <row r="177" spans="1:7" x14ac:dyDescent="0.3">
      <c r="A177" t="s">
        <v>1886</v>
      </c>
      <c r="B177" t="s">
        <v>1887</v>
      </c>
      <c r="C177" t="s">
        <v>1888</v>
      </c>
      <c r="D177" t="s">
        <v>1889</v>
      </c>
      <c r="E177" t="s">
        <v>1590</v>
      </c>
      <c r="F177">
        <v>985</v>
      </c>
      <c r="G177" t="s">
        <v>1591</v>
      </c>
    </row>
    <row r="178" spans="1:7" x14ac:dyDescent="0.3">
      <c r="A178" t="s">
        <v>1890</v>
      </c>
      <c r="B178" t="s">
        <v>1891</v>
      </c>
      <c r="C178" t="s">
        <v>1892</v>
      </c>
      <c r="D178" t="s">
        <v>1893</v>
      </c>
      <c r="E178" t="s">
        <v>606</v>
      </c>
      <c r="F178">
        <v>978</v>
      </c>
      <c r="G178" t="s">
        <v>607</v>
      </c>
    </row>
    <row r="179" spans="1:7" x14ac:dyDescent="0.3">
      <c r="A179" t="s">
        <v>1894</v>
      </c>
      <c r="B179" t="s">
        <v>1895</v>
      </c>
      <c r="C179" t="s">
        <v>1896</v>
      </c>
      <c r="D179" t="s">
        <v>1897</v>
      </c>
      <c r="E179" t="s">
        <v>185</v>
      </c>
      <c r="F179">
        <v>840</v>
      </c>
      <c r="G179" t="s">
        <v>577</v>
      </c>
    </row>
    <row r="180" spans="1:7" x14ac:dyDescent="0.3">
      <c r="A180" t="s">
        <v>1898</v>
      </c>
      <c r="B180" t="s">
        <v>1899</v>
      </c>
      <c r="C180" t="s">
        <v>1900</v>
      </c>
      <c r="D180" t="s">
        <v>1901</v>
      </c>
      <c r="E180" t="s">
        <v>1602</v>
      </c>
      <c r="F180">
        <v>634</v>
      </c>
      <c r="G180" t="s">
        <v>1603</v>
      </c>
    </row>
    <row r="181" spans="1:7" x14ac:dyDescent="0.3">
      <c r="A181" t="s">
        <v>1902</v>
      </c>
      <c r="B181" t="s">
        <v>1903</v>
      </c>
      <c r="C181" t="s">
        <v>1904</v>
      </c>
      <c r="D181" t="s">
        <v>1905</v>
      </c>
      <c r="E181" t="s">
        <v>1000</v>
      </c>
      <c r="F181">
        <v>950</v>
      </c>
      <c r="G181" t="s">
        <v>1001</v>
      </c>
    </row>
    <row r="182" spans="1:7" x14ac:dyDescent="0.3">
      <c r="A182" t="s">
        <v>1906</v>
      </c>
      <c r="B182" t="s">
        <v>1907</v>
      </c>
      <c r="C182" t="s">
        <v>1908</v>
      </c>
      <c r="D182" t="s">
        <v>1909</v>
      </c>
      <c r="E182" t="s">
        <v>606</v>
      </c>
      <c r="F182">
        <v>978</v>
      </c>
      <c r="G182" t="s">
        <v>607</v>
      </c>
    </row>
    <row r="183" spans="1:7" x14ac:dyDescent="0.3">
      <c r="A183" t="s">
        <v>1910</v>
      </c>
      <c r="B183" t="s">
        <v>1911</v>
      </c>
      <c r="C183" t="s">
        <v>1912</v>
      </c>
      <c r="D183" t="s">
        <v>1913</v>
      </c>
      <c r="E183" t="s">
        <v>1608</v>
      </c>
      <c r="F183">
        <v>946</v>
      </c>
      <c r="G183" t="s">
        <v>1609</v>
      </c>
    </row>
    <row r="184" spans="1:7" x14ac:dyDescent="0.3">
      <c r="A184" t="s">
        <v>1914</v>
      </c>
      <c r="B184" t="s">
        <v>1915</v>
      </c>
      <c r="C184" t="s">
        <v>1916</v>
      </c>
      <c r="D184" t="s">
        <v>1917</v>
      </c>
      <c r="E184" t="s">
        <v>1620</v>
      </c>
      <c r="F184">
        <v>643</v>
      </c>
      <c r="G184" t="s">
        <v>1621</v>
      </c>
    </row>
    <row r="185" spans="1:7" x14ac:dyDescent="0.3">
      <c r="A185" t="s">
        <v>1918</v>
      </c>
      <c r="B185" t="s">
        <v>1919</v>
      </c>
      <c r="C185" t="s">
        <v>1920</v>
      </c>
      <c r="D185" t="s">
        <v>1921</v>
      </c>
      <c r="E185" t="s">
        <v>1626</v>
      </c>
      <c r="F185">
        <v>646</v>
      </c>
      <c r="G185" t="s">
        <v>1627</v>
      </c>
    </row>
    <row r="186" spans="1:7" x14ac:dyDescent="0.3">
      <c r="A186" t="s">
        <v>1922</v>
      </c>
      <c r="B186" t="s">
        <v>1923</v>
      </c>
      <c r="C186" t="s">
        <v>1924</v>
      </c>
      <c r="D186" t="s">
        <v>1925</v>
      </c>
      <c r="E186" t="s">
        <v>1667</v>
      </c>
      <c r="F186">
        <v>654</v>
      </c>
      <c r="G186" t="s">
        <v>1668</v>
      </c>
    </row>
    <row r="187" spans="1:7" x14ac:dyDescent="0.3">
      <c r="A187" t="s">
        <v>1926</v>
      </c>
      <c r="B187" t="s">
        <v>1927</v>
      </c>
      <c r="C187" t="s">
        <v>1928</v>
      </c>
      <c r="D187" t="s">
        <v>1929</v>
      </c>
      <c r="E187" t="s">
        <v>681</v>
      </c>
      <c r="F187">
        <v>951</v>
      </c>
      <c r="G187" t="s">
        <v>682</v>
      </c>
    </row>
    <row r="188" spans="1:7" x14ac:dyDescent="0.3">
      <c r="A188" t="s">
        <v>1930</v>
      </c>
      <c r="B188" t="s">
        <v>1931</v>
      </c>
      <c r="C188" t="s">
        <v>1932</v>
      </c>
      <c r="D188" t="s">
        <v>1933</v>
      </c>
      <c r="E188" t="s">
        <v>681</v>
      </c>
      <c r="F188">
        <v>951</v>
      </c>
      <c r="G188" t="s">
        <v>682</v>
      </c>
    </row>
    <row r="189" spans="1:7" x14ac:dyDescent="0.3">
      <c r="A189" t="s">
        <v>1934</v>
      </c>
      <c r="B189" t="s">
        <v>1935</v>
      </c>
      <c r="C189" t="s">
        <v>1936</v>
      </c>
      <c r="D189" t="s">
        <v>1937</v>
      </c>
      <c r="E189" t="s">
        <v>606</v>
      </c>
      <c r="F189">
        <v>978</v>
      </c>
      <c r="G189" t="s">
        <v>607</v>
      </c>
    </row>
    <row r="190" spans="1:7" x14ac:dyDescent="0.3">
      <c r="A190" t="s">
        <v>1938</v>
      </c>
      <c r="B190" t="s">
        <v>1939</v>
      </c>
      <c r="C190" t="s">
        <v>1940</v>
      </c>
      <c r="D190" t="s">
        <v>1941</v>
      </c>
      <c r="E190" t="s">
        <v>681</v>
      </c>
      <c r="F190">
        <v>951</v>
      </c>
      <c r="G190" t="s">
        <v>682</v>
      </c>
    </row>
    <row r="191" spans="1:7" x14ac:dyDescent="0.3">
      <c r="A191" t="s">
        <v>1942</v>
      </c>
      <c r="B191" t="s">
        <v>1943</v>
      </c>
      <c r="C191" t="s">
        <v>1944</v>
      </c>
      <c r="D191" t="s">
        <v>1945</v>
      </c>
      <c r="E191" t="s">
        <v>606</v>
      </c>
      <c r="F191">
        <v>978</v>
      </c>
      <c r="G191" t="s">
        <v>607</v>
      </c>
    </row>
    <row r="192" spans="1:7" x14ac:dyDescent="0.3">
      <c r="A192" t="s">
        <v>1946</v>
      </c>
      <c r="B192" t="s">
        <v>1947</v>
      </c>
      <c r="C192" t="s">
        <v>1948</v>
      </c>
      <c r="D192" t="s">
        <v>1949</v>
      </c>
      <c r="E192" t="s">
        <v>606</v>
      </c>
      <c r="F192">
        <v>978</v>
      </c>
      <c r="G192" t="s">
        <v>607</v>
      </c>
    </row>
    <row r="193" spans="1:7" x14ac:dyDescent="0.3">
      <c r="A193" t="s">
        <v>1950</v>
      </c>
      <c r="B193" t="s">
        <v>1951</v>
      </c>
      <c r="C193" t="s">
        <v>1952</v>
      </c>
      <c r="D193" t="s">
        <v>1953</v>
      </c>
      <c r="E193" t="s">
        <v>1822</v>
      </c>
      <c r="F193">
        <v>882</v>
      </c>
      <c r="G193" t="s">
        <v>1823</v>
      </c>
    </row>
    <row r="194" spans="1:7" x14ac:dyDescent="0.3">
      <c r="A194" t="s">
        <v>1954</v>
      </c>
      <c r="B194" t="s">
        <v>1955</v>
      </c>
      <c r="C194" t="s">
        <v>1956</v>
      </c>
      <c r="D194" t="s">
        <v>1957</v>
      </c>
      <c r="E194" t="s">
        <v>606</v>
      </c>
      <c r="F194">
        <v>978</v>
      </c>
      <c r="G194" t="s">
        <v>607</v>
      </c>
    </row>
    <row r="195" spans="1:7" x14ac:dyDescent="0.3">
      <c r="A195" t="s">
        <v>1958</v>
      </c>
      <c r="B195" t="s">
        <v>1959</v>
      </c>
      <c r="C195" t="s">
        <v>1960</v>
      </c>
      <c r="D195" t="s">
        <v>1961</v>
      </c>
      <c r="E195" t="s">
        <v>1697</v>
      </c>
      <c r="F195">
        <v>678</v>
      </c>
      <c r="G195" t="s">
        <v>1698</v>
      </c>
    </row>
    <row r="196" spans="1:7" x14ac:dyDescent="0.3">
      <c r="A196" t="s">
        <v>1962</v>
      </c>
      <c r="B196" t="s">
        <v>1963</v>
      </c>
      <c r="C196" t="s">
        <v>1964</v>
      </c>
      <c r="D196" t="s">
        <v>1965</v>
      </c>
      <c r="E196" t="s">
        <v>1632</v>
      </c>
      <c r="F196">
        <v>682</v>
      </c>
      <c r="G196" t="s">
        <v>1633</v>
      </c>
    </row>
    <row r="197" spans="1:7" x14ac:dyDescent="0.3">
      <c r="A197" t="s">
        <v>1966</v>
      </c>
      <c r="B197" t="s">
        <v>1967</v>
      </c>
      <c r="C197" t="s">
        <v>1968</v>
      </c>
      <c r="D197" t="s">
        <v>1969</v>
      </c>
      <c r="E197" t="s">
        <v>866</v>
      </c>
      <c r="F197">
        <v>952</v>
      </c>
      <c r="G197" t="s">
        <v>867</v>
      </c>
    </row>
    <row r="198" spans="1:7" x14ac:dyDescent="0.3">
      <c r="A198" t="s">
        <v>1970</v>
      </c>
      <c r="B198" t="s">
        <v>1971</v>
      </c>
      <c r="C198" t="s">
        <v>1972</v>
      </c>
      <c r="D198" t="s">
        <v>1973</v>
      </c>
      <c r="E198" t="s">
        <v>1614</v>
      </c>
      <c r="F198">
        <v>941</v>
      </c>
      <c r="G198" t="s">
        <v>1615</v>
      </c>
    </row>
    <row r="199" spans="1:7" x14ac:dyDescent="0.3">
      <c r="A199" t="s">
        <v>1974</v>
      </c>
      <c r="B199" t="s">
        <v>1975</v>
      </c>
      <c r="C199" t="s">
        <v>1976</v>
      </c>
      <c r="D199" t="s">
        <v>1977</v>
      </c>
      <c r="E199" t="s">
        <v>1643</v>
      </c>
      <c r="F199">
        <v>690</v>
      </c>
      <c r="G199" t="s">
        <v>1644</v>
      </c>
    </row>
    <row r="200" spans="1:7" x14ac:dyDescent="0.3">
      <c r="A200" t="s">
        <v>1978</v>
      </c>
      <c r="B200" t="s">
        <v>1979</v>
      </c>
      <c r="C200" t="s">
        <v>1980</v>
      </c>
      <c r="D200" t="s">
        <v>1981</v>
      </c>
      <c r="E200" t="s">
        <v>1673</v>
      </c>
      <c r="F200">
        <v>694</v>
      </c>
      <c r="G200" t="s">
        <v>1674</v>
      </c>
    </row>
    <row r="201" spans="1:7" x14ac:dyDescent="0.3">
      <c r="A201" t="s">
        <v>1982</v>
      </c>
      <c r="B201" t="s">
        <v>1983</v>
      </c>
      <c r="C201" t="s">
        <v>1984</v>
      </c>
      <c r="D201" t="s">
        <v>1985</v>
      </c>
      <c r="E201" t="s">
        <v>1661</v>
      </c>
      <c r="F201">
        <v>702</v>
      </c>
      <c r="G201" t="s">
        <v>1662</v>
      </c>
    </row>
    <row r="202" spans="1:7" x14ac:dyDescent="0.3">
      <c r="A202" t="s">
        <v>1986</v>
      </c>
      <c r="B202" t="s">
        <v>1987</v>
      </c>
      <c r="C202" t="s">
        <v>1988</v>
      </c>
      <c r="D202" t="s">
        <v>1989</v>
      </c>
      <c r="E202" t="s">
        <v>606</v>
      </c>
      <c r="F202">
        <v>978</v>
      </c>
      <c r="G202" t="s">
        <v>607</v>
      </c>
    </row>
    <row r="203" spans="1:7" x14ac:dyDescent="0.3">
      <c r="A203" t="s">
        <v>1990</v>
      </c>
      <c r="B203" t="s">
        <v>1991</v>
      </c>
      <c r="C203" t="s">
        <v>1992</v>
      </c>
      <c r="D203" t="s">
        <v>1993</v>
      </c>
      <c r="E203" t="s">
        <v>606</v>
      </c>
      <c r="F203">
        <v>978</v>
      </c>
      <c r="G203" t="s">
        <v>607</v>
      </c>
    </row>
    <row r="204" spans="1:7" x14ac:dyDescent="0.3">
      <c r="A204" t="s">
        <v>1994</v>
      </c>
      <c r="B204" t="s">
        <v>1995</v>
      </c>
      <c r="C204" t="s">
        <v>1996</v>
      </c>
      <c r="D204" t="s">
        <v>1997</v>
      </c>
      <c r="E204" t="s">
        <v>1638</v>
      </c>
      <c r="F204">
        <v>90</v>
      </c>
      <c r="G204" t="s">
        <v>1639</v>
      </c>
    </row>
    <row r="205" spans="1:7" x14ac:dyDescent="0.3">
      <c r="A205" t="s">
        <v>1998</v>
      </c>
      <c r="B205" t="s">
        <v>1999</v>
      </c>
      <c r="C205" t="s">
        <v>2000</v>
      </c>
      <c r="D205" t="s">
        <v>2001</v>
      </c>
      <c r="E205" t="s">
        <v>1679</v>
      </c>
      <c r="F205">
        <v>706</v>
      </c>
      <c r="G205" t="s">
        <v>1680</v>
      </c>
    </row>
    <row r="206" spans="1:7" x14ac:dyDescent="0.3">
      <c r="A206" t="s">
        <v>2002</v>
      </c>
      <c r="B206" t="s">
        <v>2003</v>
      </c>
      <c r="C206" t="s">
        <v>2004</v>
      </c>
      <c r="D206" t="s">
        <v>2005</v>
      </c>
      <c r="E206" t="s">
        <v>1846</v>
      </c>
      <c r="F206">
        <v>710</v>
      </c>
      <c r="G206" t="s">
        <v>1847</v>
      </c>
    </row>
    <row r="207" spans="1:7" x14ac:dyDescent="0.3">
      <c r="A207" t="s">
        <v>2006</v>
      </c>
      <c r="B207" t="s">
        <v>2007</v>
      </c>
      <c r="C207" t="s">
        <v>2008</v>
      </c>
      <c r="D207" t="s">
        <v>2009</v>
      </c>
    </row>
    <row r="208" spans="1:7" x14ac:dyDescent="0.3">
      <c r="A208" t="s">
        <v>2010</v>
      </c>
      <c r="B208" t="s">
        <v>2011</v>
      </c>
      <c r="C208" t="s">
        <v>2012</v>
      </c>
      <c r="D208" t="s">
        <v>2013</v>
      </c>
      <c r="E208" t="s">
        <v>1691</v>
      </c>
      <c r="F208">
        <v>728</v>
      </c>
      <c r="G208" t="s">
        <v>1692</v>
      </c>
    </row>
    <row r="209" spans="1:7" x14ac:dyDescent="0.3">
      <c r="A209" t="s">
        <v>2014</v>
      </c>
      <c r="B209" t="s">
        <v>2015</v>
      </c>
      <c r="C209" t="s">
        <v>2016</v>
      </c>
      <c r="D209" t="s">
        <v>2017</v>
      </c>
      <c r="E209" t="s">
        <v>606</v>
      </c>
      <c r="F209">
        <v>978</v>
      </c>
      <c r="G209" t="s">
        <v>607</v>
      </c>
    </row>
    <row r="210" spans="1:7" x14ac:dyDescent="0.3">
      <c r="A210" t="s">
        <v>2018</v>
      </c>
      <c r="B210" t="s">
        <v>2019</v>
      </c>
      <c r="C210" t="s">
        <v>2020</v>
      </c>
      <c r="D210" t="s">
        <v>2021</v>
      </c>
      <c r="E210" t="s">
        <v>1410</v>
      </c>
      <c r="F210">
        <v>144</v>
      </c>
      <c r="G210" t="s">
        <v>1411</v>
      </c>
    </row>
    <row r="211" spans="1:7" x14ac:dyDescent="0.3">
      <c r="A211" t="s">
        <v>2022</v>
      </c>
      <c r="B211" t="s">
        <v>2023</v>
      </c>
      <c r="C211" t="s">
        <v>2024</v>
      </c>
      <c r="D211" t="s">
        <v>2025</v>
      </c>
      <c r="E211" t="s">
        <v>1649</v>
      </c>
      <c r="F211">
        <v>938</v>
      </c>
      <c r="G211" t="s">
        <v>1650</v>
      </c>
    </row>
    <row r="212" spans="1:7" x14ac:dyDescent="0.3">
      <c r="A212" t="s">
        <v>2026</v>
      </c>
      <c r="B212" t="s">
        <v>2027</v>
      </c>
      <c r="C212" t="s">
        <v>2028</v>
      </c>
      <c r="D212" t="s">
        <v>2029</v>
      </c>
      <c r="E212" t="s">
        <v>1685</v>
      </c>
      <c r="F212">
        <v>968</v>
      </c>
      <c r="G212" t="s">
        <v>1686</v>
      </c>
    </row>
    <row r="213" spans="1:7" x14ac:dyDescent="0.3">
      <c r="A213" t="s">
        <v>2030</v>
      </c>
      <c r="B213" t="s">
        <v>2031</v>
      </c>
      <c r="C213" t="s">
        <v>2032</v>
      </c>
      <c r="D213" t="s">
        <v>2033</v>
      </c>
    </row>
    <row r="214" spans="1:7" x14ac:dyDescent="0.3">
      <c r="A214" t="s">
        <v>2034</v>
      </c>
      <c r="B214" t="s">
        <v>2035</v>
      </c>
      <c r="C214" t="s">
        <v>2036</v>
      </c>
      <c r="D214" t="s">
        <v>2037</v>
      </c>
      <c r="E214" t="s">
        <v>1655</v>
      </c>
      <c r="F214">
        <v>752</v>
      </c>
      <c r="G214" t="s">
        <v>1656</v>
      </c>
    </row>
    <row r="215" spans="1:7" x14ac:dyDescent="0.3">
      <c r="A215" t="s">
        <v>2038</v>
      </c>
      <c r="B215" t="s">
        <v>2039</v>
      </c>
      <c r="C215" t="s">
        <v>2040</v>
      </c>
      <c r="D215" t="s">
        <v>2041</v>
      </c>
      <c r="E215" t="s">
        <v>980</v>
      </c>
      <c r="F215">
        <v>756</v>
      </c>
      <c r="G215" t="s">
        <v>981</v>
      </c>
    </row>
    <row r="216" spans="1:7" x14ac:dyDescent="0.3">
      <c r="A216" t="s">
        <v>2042</v>
      </c>
      <c r="B216" t="s">
        <v>2043</v>
      </c>
      <c r="C216" t="s">
        <v>2044</v>
      </c>
      <c r="D216" t="s">
        <v>2045</v>
      </c>
      <c r="E216" t="s">
        <v>1703</v>
      </c>
      <c r="F216">
        <v>760</v>
      </c>
      <c r="G216" t="s">
        <v>1704</v>
      </c>
    </row>
    <row r="217" spans="1:7" x14ac:dyDescent="0.3">
      <c r="A217" t="s">
        <v>2046</v>
      </c>
      <c r="B217" t="s">
        <v>2047</v>
      </c>
      <c r="C217" t="s">
        <v>2048</v>
      </c>
      <c r="D217" t="s">
        <v>2049</v>
      </c>
      <c r="E217" t="s">
        <v>1760</v>
      </c>
      <c r="F217">
        <v>901</v>
      </c>
      <c r="G217" t="s">
        <v>1761</v>
      </c>
    </row>
    <row r="218" spans="1:7" x14ac:dyDescent="0.3">
      <c r="A218" t="s">
        <v>2050</v>
      </c>
      <c r="B218" t="s">
        <v>2051</v>
      </c>
      <c r="C218" t="s">
        <v>2052</v>
      </c>
      <c r="D218" t="s">
        <v>2053</v>
      </c>
      <c r="E218" t="s">
        <v>1719</v>
      </c>
      <c r="F218">
        <v>972</v>
      </c>
      <c r="G218" t="s">
        <v>1720</v>
      </c>
    </row>
    <row r="219" spans="1:7" x14ac:dyDescent="0.3">
      <c r="A219" t="s">
        <v>2054</v>
      </c>
      <c r="B219" t="s">
        <v>2055</v>
      </c>
      <c r="C219" t="s">
        <v>2056</v>
      </c>
      <c r="D219" t="s">
        <v>2057</v>
      </c>
      <c r="E219" t="s">
        <v>1766</v>
      </c>
      <c r="F219">
        <v>834</v>
      </c>
      <c r="G219" t="s">
        <v>1767</v>
      </c>
    </row>
    <row r="220" spans="1:7" x14ac:dyDescent="0.3">
      <c r="A220" t="s">
        <v>2058</v>
      </c>
      <c r="B220" t="s">
        <v>2059</v>
      </c>
      <c r="C220" t="s">
        <v>2060</v>
      </c>
      <c r="D220" t="s">
        <v>2061</v>
      </c>
      <c r="E220" t="s">
        <v>1713</v>
      </c>
      <c r="F220">
        <v>764</v>
      </c>
      <c r="G220" t="s">
        <v>1714</v>
      </c>
    </row>
    <row r="221" spans="1:7" x14ac:dyDescent="0.3">
      <c r="A221" t="s">
        <v>2062</v>
      </c>
      <c r="B221" t="s">
        <v>2063</v>
      </c>
      <c r="C221" t="s">
        <v>2064</v>
      </c>
      <c r="D221" t="s">
        <v>2065</v>
      </c>
      <c r="E221" t="s">
        <v>185</v>
      </c>
      <c r="F221">
        <v>840</v>
      </c>
      <c r="G221" t="s">
        <v>577</v>
      </c>
    </row>
    <row r="222" spans="1:7" x14ac:dyDescent="0.3">
      <c r="A222" t="s">
        <v>2066</v>
      </c>
      <c r="B222" t="s">
        <v>2067</v>
      </c>
      <c r="C222" t="s">
        <v>2068</v>
      </c>
      <c r="D222" t="s">
        <v>2069</v>
      </c>
      <c r="E222" t="s">
        <v>866</v>
      </c>
      <c r="F222">
        <v>952</v>
      </c>
      <c r="G222" t="s">
        <v>867</v>
      </c>
    </row>
    <row r="223" spans="1:7" x14ac:dyDescent="0.3">
      <c r="A223" t="s">
        <v>2070</v>
      </c>
      <c r="B223" t="s">
        <v>2071</v>
      </c>
      <c r="C223" t="s">
        <v>2072</v>
      </c>
      <c r="D223" t="s">
        <v>2073</v>
      </c>
    </row>
    <row r="224" spans="1:7" x14ac:dyDescent="0.3">
      <c r="A224" t="s">
        <v>2074</v>
      </c>
      <c r="B224" t="s">
        <v>2075</v>
      </c>
      <c r="C224" t="s">
        <v>2076</v>
      </c>
      <c r="D224" t="s">
        <v>2077</v>
      </c>
      <c r="E224" t="s">
        <v>1737</v>
      </c>
      <c r="F224">
        <v>776</v>
      </c>
      <c r="G224" t="s">
        <v>1738</v>
      </c>
    </row>
    <row r="225" spans="1:7" x14ac:dyDescent="0.3">
      <c r="A225" t="s">
        <v>52</v>
      </c>
      <c r="B225" t="s">
        <v>2078</v>
      </c>
      <c r="C225" t="s">
        <v>2079</v>
      </c>
      <c r="D225" t="s">
        <v>2080</v>
      </c>
      <c r="E225" t="s">
        <v>92</v>
      </c>
      <c r="F225">
        <v>780</v>
      </c>
      <c r="G225" t="s">
        <v>1749</v>
      </c>
    </row>
    <row r="226" spans="1:7" x14ac:dyDescent="0.3">
      <c r="A226" t="s">
        <v>2081</v>
      </c>
      <c r="B226" t="s">
        <v>2082</v>
      </c>
      <c r="C226" t="s">
        <v>2083</v>
      </c>
      <c r="D226" t="s">
        <v>2084</v>
      </c>
      <c r="E226" t="s">
        <v>1731</v>
      </c>
      <c r="F226">
        <v>788</v>
      </c>
      <c r="G226" t="s">
        <v>1732</v>
      </c>
    </row>
    <row r="227" spans="1:7" x14ac:dyDescent="0.3">
      <c r="A227" t="s">
        <v>2085</v>
      </c>
      <c r="B227" t="s">
        <v>2086</v>
      </c>
      <c r="C227" t="s">
        <v>2087</v>
      </c>
      <c r="D227" t="s">
        <v>2088</v>
      </c>
      <c r="E227" t="s">
        <v>1743</v>
      </c>
      <c r="F227">
        <v>949</v>
      </c>
      <c r="G227" t="s">
        <v>1744</v>
      </c>
    </row>
    <row r="228" spans="1:7" x14ac:dyDescent="0.3">
      <c r="A228" t="s">
        <v>2089</v>
      </c>
      <c r="B228" t="s">
        <v>2090</v>
      </c>
      <c r="C228" t="s">
        <v>2091</v>
      </c>
      <c r="D228" t="s">
        <v>2092</v>
      </c>
      <c r="E228" t="s">
        <v>1725</v>
      </c>
      <c r="F228">
        <v>934</v>
      </c>
      <c r="G228" t="s">
        <v>1726</v>
      </c>
    </row>
    <row r="229" spans="1:7" x14ac:dyDescent="0.3">
      <c r="A229" t="s">
        <v>2093</v>
      </c>
      <c r="B229" t="s">
        <v>2094</v>
      </c>
      <c r="C229" t="s">
        <v>2095</v>
      </c>
      <c r="D229" t="s">
        <v>2096</v>
      </c>
      <c r="E229" t="s">
        <v>185</v>
      </c>
      <c r="F229">
        <v>840</v>
      </c>
      <c r="G229" t="s">
        <v>577</v>
      </c>
    </row>
    <row r="230" spans="1:7" x14ac:dyDescent="0.3">
      <c r="A230" t="s">
        <v>2097</v>
      </c>
      <c r="B230" t="s">
        <v>2098</v>
      </c>
      <c r="C230" t="s">
        <v>2099</v>
      </c>
      <c r="D230" t="s">
        <v>2100</v>
      </c>
      <c r="E230" t="s">
        <v>1754</v>
      </c>
      <c r="F230">
        <v>0</v>
      </c>
      <c r="G230" t="s">
        <v>1755</v>
      </c>
    </row>
    <row r="231" spans="1:7" x14ac:dyDescent="0.3">
      <c r="A231" t="s">
        <v>2101</v>
      </c>
      <c r="B231" t="s">
        <v>2102</v>
      </c>
      <c r="C231" t="s">
        <v>2103</v>
      </c>
      <c r="D231" t="s">
        <v>2104</v>
      </c>
      <c r="E231" t="s">
        <v>1778</v>
      </c>
      <c r="F231">
        <v>800</v>
      </c>
      <c r="G231" t="s">
        <v>1779</v>
      </c>
    </row>
    <row r="232" spans="1:7" x14ac:dyDescent="0.3">
      <c r="A232" t="s">
        <v>2105</v>
      </c>
      <c r="B232" t="s">
        <v>2106</v>
      </c>
      <c r="C232" t="s">
        <v>2107</v>
      </c>
      <c r="D232" t="s">
        <v>2108</v>
      </c>
      <c r="E232" t="s">
        <v>1772</v>
      </c>
      <c r="F232">
        <v>980</v>
      </c>
      <c r="G232" t="s">
        <v>1773</v>
      </c>
    </row>
    <row r="233" spans="1:7" x14ac:dyDescent="0.3">
      <c r="A233" t="s">
        <v>2109</v>
      </c>
      <c r="B233" t="s">
        <v>2110</v>
      </c>
      <c r="C233" t="s">
        <v>2111</v>
      </c>
      <c r="D233" t="s">
        <v>2112</v>
      </c>
      <c r="E233" t="s">
        <v>683</v>
      </c>
      <c r="F233">
        <v>784</v>
      </c>
      <c r="G233" t="s">
        <v>684</v>
      </c>
    </row>
    <row r="234" spans="1:7" x14ac:dyDescent="0.3">
      <c r="A234" t="s">
        <v>2113</v>
      </c>
      <c r="B234" t="s">
        <v>2114</v>
      </c>
      <c r="C234" t="s">
        <v>2115</v>
      </c>
      <c r="D234" t="s">
        <v>2116</v>
      </c>
      <c r="E234" t="s">
        <v>1148</v>
      </c>
      <c r="F234">
        <v>826</v>
      </c>
      <c r="G234" t="s">
        <v>1149</v>
      </c>
    </row>
    <row r="235" spans="1:7" x14ac:dyDescent="0.3">
      <c r="A235" t="s">
        <v>2117</v>
      </c>
      <c r="B235" t="s">
        <v>2118</v>
      </c>
      <c r="C235" t="s">
        <v>2119</v>
      </c>
      <c r="D235" t="s">
        <v>2120</v>
      </c>
      <c r="E235" t="s">
        <v>1792</v>
      </c>
      <c r="F235">
        <v>858</v>
      </c>
      <c r="G235" t="s">
        <v>1793</v>
      </c>
    </row>
    <row r="236" spans="1:7" x14ac:dyDescent="0.3">
      <c r="A236" t="s">
        <v>2121</v>
      </c>
      <c r="B236" t="s">
        <v>2122</v>
      </c>
      <c r="C236" t="s">
        <v>2123</v>
      </c>
      <c r="D236" t="s">
        <v>2124</v>
      </c>
      <c r="E236" t="s">
        <v>1798</v>
      </c>
      <c r="F236">
        <v>860</v>
      </c>
      <c r="G236" t="s">
        <v>1799</v>
      </c>
    </row>
    <row r="237" spans="1:7" x14ac:dyDescent="0.3">
      <c r="A237" t="s">
        <v>2125</v>
      </c>
      <c r="B237" t="s">
        <v>2126</v>
      </c>
      <c r="C237" t="s">
        <v>2127</v>
      </c>
      <c r="D237" t="s">
        <v>2128</v>
      </c>
      <c r="E237" t="s">
        <v>1816</v>
      </c>
      <c r="F237">
        <v>548</v>
      </c>
      <c r="G237" t="s">
        <v>1817</v>
      </c>
    </row>
    <row r="238" spans="1:7" x14ac:dyDescent="0.3">
      <c r="A238" t="s">
        <v>2129</v>
      </c>
      <c r="B238" t="s">
        <v>2130</v>
      </c>
      <c r="C238" t="s">
        <v>2131</v>
      </c>
      <c r="D238" t="s">
        <v>2132</v>
      </c>
      <c r="E238" t="s">
        <v>606</v>
      </c>
      <c r="F238">
        <v>978</v>
      </c>
      <c r="G238" t="s">
        <v>607</v>
      </c>
    </row>
    <row r="239" spans="1:7" x14ac:dyDescent="0.3">
      <c r="A239" t="s">
        <v>2133</v>
      </c>
      <c r="B239" t="s">
        <v>2134</v>
      </c>
      <c r="C239" t="s">
        <v>2135</v>
      </c>
      <c r="D239" t="s">
        <v>2136</v>
      </c>
      <c r="E239" t="s">
        <v>1804</v>
      </c>
      <c r="F239">
        <v>937</v>
      </c>
      <c r="G239" t="s">
        <v>1805</v>
      </c>
    </row>
    <row r="240" spans="1:7" x14ac:dyDescent="0.3">
      <c r="A240" t="s">
        <v>2137</v>
      </c>
      <c r="B240" t="s">
        <v>2138</v>
      </c>
      <c r="C240" t="s">
        <v>2139</v>
      </c>
      <c r="D240" t="s">
        <v>2140</v>
      </c>
      <c r="E240" t="s">
        <v>1810</v>
      </c>
      <c r="F240">
        <v>704</v>
      </c>
      <c r="G240" t="s">
        <v>1811</v>
      </c>
    </row>
    <row r="241" spans="1:7" x14ac:dyDescent="0.3">
      <c r="A241" t="s">
        <v>2141</v>
      </c>
      <c r="B241" t="s">
        <v>2142</v>
      </c>
      <c r="C241" t="s">
        <v>2143</v>
      </c>
      <c r="D241" t="s">
        <v>2144</v>
      </c>
      <c r="E241" t="s">
        <v>185</v>
      </c>
      <c r="F241">
        <v>840</v>
      </c>
      <c r="G241" t="s">
        <v>577</v>
      </c>
    </row>
    <row r="242" spans="1:7" x14ac:dyDescent="0.3">
      <c r="A242" t="s">
        <v>2145</v>
      </c>
      <c r="B242" t="s">
        <v>2146</v>
      </c>
      <c r="C242" t="s">
        <v>2147</v>
      </c>
      <c r="D242" t="s">
        <v>2148</v>
      </c>
    </row>
    <row r="243" spans="1:7" x14ac:dyDescent="0.3">
      <c r="A243" t="s">
        <v>2149</v>
      </c>
      <c r="B243" t="s">
        <v>2150</v>
      </c>
      <c r="C243" t="s">
        <v>2151</v>
      </c>
      <c r="D243" t="s">
        <v>2152</v>
      </c>
    </row>
    <row r="244" spans="1:7" x14ac:dyDescent="0.3">
      <c r="A244" t="s">
        <v>2153</v>
      </c>
      <c r="B244" t="s">
        <v>2154</v>
      </c>
      <c r="C244" t="s">
        <v>2155</v>
      </c>
      <c r="D244" t="s">
        <v>2156</v>
      </c>
      <c r="E244" t="s">
        <v>1840</v>
      </c>
      <c r="F244">
        <v>886</v>
      </c>
      <c r="G244" t="s">
        <v>1841</v>
      </c>
    </row>
    <row r="245" spans="1:7" x14ac:dyDescent="0.3">
      <c r="A245" t="s">
        <v>2157</v>
      </c>
      <c r="B245" t="s">
        <v>2158</v>
      </c>
      <c r="C245" t="s">
        <v>2159</v>
      </c>
      <c r="D245" t="s">
        <v>2160</v>
      </c>
      <c r="E245" t="s">
        <v>1852</v>
      </c>
      <c r="F245">
        <v>967</v>
      </c>
      <c r="G245" t="s">
        <v>1853</v>
      </c>
    </row>
    <row r="246" spans="1:7" x14ac:dyDescent="0.3">
      <c r="A246" t="s">
        <v>2161</v>
      </c>
      <c r="B246" t="s">
        <v>2162</v>
      </c>
      <c r="C246" t="s">
        <v>2163</v>
      </c>
      <c r="D246" t="s">
        <v>2164</v>
      </c>
      <c r="E246" t="s">
        <v>185</v>
      </c>
      <c r="F246">
        <v>840</v>
      </c>
      <c r="G246" t="s">
        <v>577</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8ABEB92F-B32E-4D23-8B36-0165E01E7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2025-07-23T10:39:10Z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